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incic-my.sharepoint.com/personal/jean-noel_blossier_vinci-construction_com/Documents/Documents/Perso/velo/ACP/Flèches orga/Calculateur/"/>
    </mc:Choice>
  </mc:AlternateContent>
  <xr:revisionPtr revIDLastSave="628" documentId="8_{D2A41FA7-4BDA-447C-AFD5-5D4C77E9C4CC}" xr6:coauthVersionLast="47" xr6:coauthVersionMax="47" xr10:uidLastSave="{CAFDF331-CBE9-4A83-940F-30231A376DCA}"/>
  <bookViews>
    <workbookView xWindow="-120" yWindow="-120" windowWidth="51840" windowHeight="21120" tabRatio="308" firstSheet="2" activeTab="2" xr2:uid="{7445421E-234F-4828-8D29-7DBD333B38CB}"/>
  </bookViews>
  <sheets>
    <sheet name="Settings" sheetId="6" state="hidden" r:id="rId1"/>
    <sheet name="Etapes" sheetId="11" state="hidden" r:id="rId2"/>
    <sheet name="Calculateur" sheetId="1" r:id="rId3"/>
    <sheet name="Liste" sheetId="2" r:id="rId4"/>
    <sheet name="Aide" sheetId="10" r:id="rId5"/>
  </sheets>
  <definedNames>
    <definedName name="_xlnm._FilterDatabase" localSheetId="1" hidden="1">Etapes!$A$1:$A$21</definedName>
    <definedName name="_xlnm._FilterDatabase" localSheetId="3" hidden="1">Liste!$D$1:$K$41</definedName>
    <definedName name="Adresse_Mail">Settings!$Q$4</definedName>
    <definedName name="Mail_L1">Settings!$Q$6</definedName>
    <definedName name="Mail_L10">Settings!$Q$15</definedName>
    <definedName name="Mail_L11">Settings!$Q$16</definedName>
    <definedName name="Mail_L2">Settings!$Q$7</definedName>
    <definedName name="Mail_L3">Settings!$Q$8</definedName>
    <definedName name="Mail_L4">Settings!$Q$9</definedName>
    <definedName name="Mail_L5">Settings!$Q$10</definedName>
    <definedName name="Mail_L6">Settings!$Q$11</definedName>
    <definedName name="Mail_L7">Settings!$Q$12</definedName>
    <definedName name="Mail_L8">Settings!$Q$13</definedName>
    <definedName name="Mail_L9">Settings!$Q$14</definedName>
    <definedName name="NbEtapes">Etapes!$B$44</definedName>
    <definedName name="nom_mail">Settings!$Q$3</definedName>
    <definedName name="Option">Settings!$L$2</definedName>
    <definedName name="titre_mail">Settings!$Q$5</definedName>
    <definedName name="_xlnm.Print_Area" localSheetId="2">Calculateur!$C$3:$P$56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0" i="2" l="1"/>
  <c r="K21" i="2" s="1"/>
  <c r="J20" i="2"/>
  <c r="K16" i="2"/>
  <c r="K17" i="2" s="1"/>
  <c r="J16" i="2"/>
  <c r="K18" i="2"/>
  <c r="K19" i="2" s="1"/>
  <c r="J18" i="2"/>
  <c r="K24" i="2"/>
  <c r="K25" i="2" s="1"/>
  <c r="J24" i="2"/>
  <c r="K22" i="2"/>
  <c r="K23" i="2" s="1"/>
  <c r="J22" i="2"/>
  <c r="K14" i="2"/>
  <c r="K15" i="2" s="1"/>
  <c r="J14" i="2"/>
  <c r="K26" i="2"/>
  <c r="K27" i="2" s="1"/>
  <c r="J26" i="2"/>
  <c r="K32" i="2"/>
  <c r="K33" i="2" s="1"/>
  <c r="J32" i="2"/>
  <c r="K12" i="2"/>
  <c r="K13" i="2" s="1"/>
  <c r="J12" i="2"/>
  <c r="K8" i="2"/>
  <c r="K9" i="2" s="1"/>
  <c r="J8" i="2"/>
  <c r="K28" i="2"/>
  <c r="K29" i="2" s="1"/>
  <c r="J28" i="2"/>
  <c r="K10" i="2"/>
  <c r="K11" i="2" s="1"/>
  <c r="J10" i="2"/>
  <c r="K30" i="2"/>
  <c r="K31" i="2" s="1"/>
  <c r="J30" i="2"/>
  <c r="K36" i="2"/>
  <c r="K37" i="2" s="1"/>
  <c r="J36" i="2"/>
  <c r="K34" i="2"/>
  <c r="K35" i="2" s="1"/>
  <c r="J34" i="2"/>
  <c r="K2" i="2"/>
  <c r="J2" i="2"/>
  <c r="K4" i="2"/>
  <c r="K5" i="2" s="1"/>
  <c r="J4" i="2"/>
  <c r="K40" i="2"/>
  <c r="K41" i="2" s="1"/>
  <c r="J40" i="2"/>
  <c r="K6" i="2"/>
  <c r="K7" i="2" s="1"/>
  <c r="J6" i="2"/>
  <c r="J38" i="2"/>
  <c r="K38" i="2"/>
  <c r="K39" i="2" s="1"/>
  <c r="A26" i="11"/>
  <c r="R16" i="6"/>
  <c r="R15" i="6"/>
  <c r="R14" i="6"/>
  <c r="R13" i="6"/>
  <c r="R12" i="6"/>
  <c r="R11" i="6"/>
  <c r="R10" i="6"/>
  <c r="R9" i="6"/>
  <c r="R8" i="6"/>
  <c r="R7" i="6"/>
  <c r="R6" i="6"/>
  <c r="R5" i="6"/>
  <c r="R4" i="6"/>
  <c r="R3" i="6"/>
  <c r="K26" i="1"/>
  <c r="M26" i="1" s="1"/>
  <c r="K27" i="1"/>
  <c r="M27" i="1" s="1"/>
  <c r="K28" i="1"/>
  <c r="M28" i="1" s="1"/>
  <c r="K29" i="1"/>
  <c r="M29" i="1" s="1"/>
  <c r="K30" i="1"/>
  <c r="K31" i="1"/>
  <c r="M31" i="1" s="1"/>
  <c r="K32" i="1"/>
  <c r="M32" i="1" s="1"/>
  <c r="K33" i="1"/>
  <c r="M33" i="1" s="1"/>
  <c r="K34" i="1"/>
  <c r="M34" i="1" s="1"/>
  <c r="K35" i="1"/>
  <c r="M35" i="1" s="1"/>
  <c r="K36" i="1"/>
  <c r="M36" i="1" s="1"/>
  <c r="K37" i="1"/>
  <c r="M37" i="1" s="1"/>
  <c r="K38" i="1"/>
  <c r="M38" i="1" s="1"/>
  <c r="K39" i="1"/>
  <c r="M39" i="1" s="1"/>
  <c r="K40" i="1"/>
  <c r="M40" i="1" s="1"/>
  <c r="K41" i="1"/>
  <c r="M41" i="1" s="1"/>
  <c r="K42" i="1"/>
  <c r="M42" i="1" s="1"/>
  <c r="K43" i="1"/>
  <c r="M43" i="1" s="1"/>
  <c r="K44" i="1"/>
  <c r="M44" i="1" s="1"/>
  <c r="K45" i="1"/>
  <c r="M45" i="1" s="1"/>
  <c r="K46" i="1"/>
  <c r="M46" i="1" s="1"/>
  <c r="K47" i="1"/>
  <c r="M47" i="1" s="1"/>
  <c r="K48" i="1"/>
  <c r="M48" i="1" s="1"/>
  <c r="K49" i="1"/>
  <c r="M49" i="1" s="1"/>
  <c r="K50" i="1"/>
  <c r="M50" i="1" s="1"/>
  <c r="K51" i="1"/>
  <c r="M51" i="1" s="1"/>
  <c r="K52" i="1"/>
  <c r="M52" i="1" s="1"/>
  <c r="K53" i="1"/>
  <c r="M53" i="1" s="1"/>
  <c r="K54" i="1"/>
  <c r="M54" i="1" s="1"/>
  <c r="K55" i="1"/>
  <c r="M55" i="1" s="1"/>
  <c r="M8" i="1"/>
  <c r="W11" i="1"/>
  <c r="W12" i="1" s="1"/>
  <c r="W24" i="1" s="1"/>
  <c r="Y5" i="1"/>
  <c r="X9" i="1"/>
  <c r="X8" i="1"/>
  <c r="W9" i="1"/>
  <c r="W8" i="1"/>
  <c r="Y11" i="1"/>
  <c r="Y12" i="1" s="1"/>
  <c r="Y24" i="1" s="1"/>
  <c r="X11" i="1"/>
  <c r="X12" i="1" s="1"/>
  <c r="X24" i="1" s="1"/>
  <c r="D4" i="6"/>
  <c r="D5" i="6" s="1"/>
  <c r="D6" i="6" s="1"/>
  <c r="D7" i="6" s="1"/>
  <c r="D8" i="6" s="1"/>
  <c r="D9" i="6" s="1"/>
  <c r="D10" i="6" s="1"/>
  <c r="D11" i="6" s="1"/>
  <c r="D12" i="6" s="1"/>
  <c r="D13" i="6" s="1"/>
  <c r="D14" i="6" s="1"/>
  <c r="D15" i="6" s="1"/>
  <c r="D16" i="6" s="1"/>
  <c r="D17" i="6" s="1"/>
  <c r="D18" i="6" s="1"/>
  <c r="D19" i="6" s="1"/>
  <c r="D20" i="6" s="1"/>
  <c r="D21" i="6" s="1"/>
  <c r="D22" i="6" s="1"/>
  <c r="D23" i="6" s="1"/>
  <c r="D24" i="6" s="1"/>
  <c r="D25" i="6" s="1"/>
  <c r="D26" i="6" s="1"/>
  <c r="D27" i="6" s="1"/>
  <c r="D28" i="6" s="1"/>
  <c r="D29" i="6" s="1"/>
  <c r="D30" i="6" s="1"/>
  <c r="D31" i="6" s="1"/>
  <c r="D32" i="6" s="1"/>
  <c r="D33" i="6" s="1"/>
  <c r="D34" i="6" s="1"/>
  <c r="D35" i="6" s="1"/>
  <c r="D36" i="6" s="1"/>
  <c r="D37" i="6" s="1"/>
  <c r="D38" i="6" s="1"/>
  <c r="D39" i="6" s="1"/>
  <c r="D40" i="6" s="1"/>
  <c r="D41" i="6" s="1"/>
  <c r="D42" i="6" s="1"/>
  <c r="D43" i="6" s="1"/>
  <c r="D44" i="6" s="1"/>
  <c r="D45" i="6" s="1"/>
  <c r="D46" i="6" s="1"/>
  <c r="D47" i="6" s="1"/>
  <c r="D48" i="6" s="1"/>
  <c r="D49" i="6" s="1"/>
  <c r="D50" i="6" s="1"/>
  <c r="D51" i="6" s="1"/>
  <c r="D52" i="6" s="1"/>
  <c r="D53" i="6" s="1"/>
  <c r="D54" i="6" s="1"/>
  <c r="D55" i="6" s="1"/>
  <c r="D56" i="6" s="1"/>
  <c r="D57" i="6" s="1"/>
  <c r="D58" i="6" s="1"/>
  <c r="D59" i="6" s="1"/>
  <c r="D60" i="6" s="1"/>
  <c r="D61" i="6" s="1"/>
  <c r="D62" i="6" s="1"/>
  <c r="C4" i="6"/>
  <c r="C5" i="6"/>
  <c r="C6" i="6" s="1"/>
  <c r="C7" i="6" s="1"/>
  <c r="C8" i="6" s="1"/>
  <c r="C9" i="6" s="1"/>
  <c r="C10" i="6" s="1"/>
  <c r="C11" i="6" s="1"/>
  <c r="C12" i="6" s="1"/>
  <c r="C13" i="6" s="1"/>
  <c r="C14" i="6" s="1"/>
  <c r="C15" i="6" s="1"/>
  <c r="C16" i="6" s="1"/>
  <c r="C17" i="6" s="1"/>
  <c r="C18" i="6" s="1"/>
  <c r="C19" i="6" s="1"/>
  <c r="C20" i="6" s="1"/>
  <c r="C21" i="6" s="1"/>
  <c r="C22" i="6" s="1"/>
  <c r="C23" i="6" s="1"/>
  <c r="C24" i="6" s="1"/>
  <c r="C25" i="6" s="1"/>
  <c r="C26" i="6" s="1"/>
  <c r="L39" i="2"/>
  <c r="M39" i="2"/>
  <c r="N39" i="2"/>
  <c r="L6" i="2"/>
  <c r="M6" i="2"/>
  <c r="N6" i="2"/>
  <c r="L7" i="2"/>
  <c r="M7" i="2"/>
  <c r="N7" i="2"/>
  <c r="L40" i="2"/>
  <c r="M40" i="2"/>
  <c r="N40" i="2"/>
  <c r="L41" i="2"/>
  <c r="M41" i="2"/>
  <c r="N41" i="2"/>
  <c r="L4" i="2"/>
  <c r="M4" i="2"/>
  <c r="N4" i="2"/>
  <c r="L5" i="2"/>
  <c r="M5" i="2"/>
  <c r="N5" i="2"/>
  <c r="L2" i="2"/>
  <c r="M2" i="2"/>
  <c r="N2" i="2"/>
  <c r="L3" i="2"/>
  <c r="M3" i="2"/>
  <c r="N3" i="2"/>
  <c r="L34" i="2"/>
  <c r="M34" i="2"/>
  <c r="N34" i="2"/>
  <c r="L35" i="2"/>
  <c r="M35" i="2"/>
  <c r="N35" i="2"/>
  <c r="L36" i="2"/>
  <c r="M36" i="2"/>
  <c r="N36" i="2"/>
  <c r="L37" i="2"/>
  <c r="M37" i="2"/>
  <c r="N37" i="2"/>
  <c r="L30" i="2"/>
  <c r="M30" i="2"/>
  <c r="N30" i="2"/>
  <c r="L31" i="2"/>
  <c r="M31" i="2"/>
  <c r="N31" i="2"/>
  <c r="L10" i="2"/>
  <c r="M10" i="2"/>
  <c r="N10" i="2"/>
  <c r="L11" i="2"/>
  <c r="M11" i="2"/>
  <c r="N11" i="2"/>
  <c r="L28" i="2"/>
  <c r="M28" i="2"/>
  <c r="N28" i="2"/>
  <c r="L29" i="2"/>
  <c r="M29" i="2"/>
  <c r="N29" i="2"/>
  <c r="L8" i="2"/>
  <c r="M8" i="2"/>
  <c r="N8" i="2"/>
  <c r="L9" i="2"/>
  <c r="M9" i="2"/>
  <c r="N9" i="2"/>
  <c r="L12" i="2"/>
  <c r="M12" i="2"/>
  <c r="N12" i="2"/>
  <c r="L13" i="2"/>
  <c r="M13" i="2"/>
  <c r="N13" i="2"/>
  <c r="L32" i="2"/>
  <c r="M32" i="2"/>
  <c r="N32" i="2"/>
  <c r="L33" i="2"/>
  <c r="M33" i="2"/>
  <c r="N33" i="2"/>
  <c r="L26" i="2"/>
  <c r="M26" i="2"/>
  <c r="N26" i="2"/>
  <c r="L27" i="2"/>
  <c r="M27" i="2"/>
  <c r="N27" i="2"/>
  <c r="L14" i="2"/>
  <c r="M14" i="2"/>
  <c r="N14" i="2"/>
  <c r="L15" i="2"/>
  <c r="M15" i="2"/>
  <c r="N15" i="2"/>
  <c r="L22" i="2"/>
  <c r="M22" i="2"/>
  <c r="N22" i="2"/>
  <c r="L23" i="2"/>
  <c r="M23" i="2"/>
  <c r="N23" i="2"/>
  <c r="L24" i="2"/>
  <c r="M24" i="2"/>
  <c r="N24" i="2"/>
  <c r="L25" i="2"/>
  <c r="M25" i="2"/>
  <c r="N25" i="2"/>
  <c r="L18" i="2"/>
  <c r="M18" i="2"/>
  <c r="N18" i="2"/>
  <c r="L19" i="2"/>
  <c r="M19" i="2"/>
  <c r="N19" i="2"/>
  <c r="L16" i="2"/>
  <c r="M16" i="2"/>
  <c r="N16" i="2"/>
  <c r="L17" i="2"/>
  <c r="M17" i="2"/>
  <c r="N17" i="2"/>
  <c r="L20" i="2"/>
  <c r="M20" i="2"/>
  <c r="N20" i="2"/>
  <c r="L21" i="2"/>
  <c r="M21" i="2"/>
  <c r="N21" i="2"/>
  <c r="N38" i="2"/>
  <c r="M38" i="2"/>
  <c r="L38" i="2"/>
  <c r="AG2" i="11"/>
  <c r="AG3" i="11"/>
  <c r="AG4" i="11"/>
  <c r="AG5" i="11"/>
  <c r="AG6" i="11"/>
  <c r="AG7" i="11"/>
  <c r="AG8" i="11"/>
  <c r="AG9" i="11"/>
  <c r="AG10" i="11"/>
  <c r="AG11" i="11"/>
  <c r="AG13" i="11"/>
  <c r="AG14" i="11"/>
  <c r="AG15" i="11"/>
  <c r="AG16" i="11"/>
  <c r="AG17" i="11"/>
  <c r="AG18" i="11"/>
  <c r="AG19" i="11"/>
  <c r="AG20" i="11"/>
  <c r="AG21" i="11"/>
  <c r="AF2" i="11"/>
  <c r="AF3" i="11"/>
  <c r="AF4" i="11"/>
  <c r="AF5" i="11"/>
  <c r="AF6" i="11"/>
  <c r="AF7" i="11"/>
  <c r="AF8" i="11"/>
  <c r="AF9" i="11"/>
  <c r="AF10" i="11"/>
  <c r="AF11" i="11"/>
  <c r="AF12" i="11"/>
  <c r="AF13" i="11"/>
  <c r="AF14" i="11"/>
  <c r="AF15" i="11"/>
  <c r="AF16" i="11"/>
  <c r="AF17" i="11"/>
  <c r="AF18" i="11"/>
  <c r="AF19" i="11"/>
  <c r="AF20" i="11"/>
  <c r="AE21" i="11"/>
  <c r="AE20" i="11"/>
  <c r="AE19" i="11"/>
  <c r="AE18" i="11"/>
  <c r="AE17" i="11"/>
  <c r="AE16" i="11"/>
  <c r="AE15" i="11"/>
  <c r="AE14" i="11"/>
  <c r="AE13" i="11"/>
  <c r="AE12" i="11"/>
  <c r="AG12" i="11" s="1"/>
  <c r="AE11" i="11"/>
  <c r="AE10" i="11"/>
  <c r="AE9" i="11"/>
  <c r="AE8" i="11"/>
  <c r="AE7" i="11"/>
  <c r="AE6" i="11"/>
  <c r="AE5" i="11"/>
  <c r="AE4" i="11"/>
  <c r="AE3" i="11"/>
  <c r="AE2" i="11"/>
  <c r="AD2" i="11"/>
  <c r="AD3" i="11"/>
  <c r="AD4" i="11"/>
  <c r="AD5" i="11"/>
  <c r="AD6" i="11"/>
  <c r="AD7" i="11"/>
  <c r="AD8" i="11"/>
  <c r="AD9" i="11"/>
  <c r="AD10" i="11"/>
  <c r="AD11" i="11"/>
  <c r="AD12" i="11"/>
  <c r="AD13" i="11"/>
  <c r="AD14" i="11"/>
  <c r="AD15" i="11"/>
  <c r="AD16" i="11"/>
  <c r="AD17" i="11"/>
  <c r="AD18" i="11"/>
  <c r="AD19" i="11"/>
  <c r="AD20" i="11"/>
  <c r="AD21" i="11"/>
  <c r="M30" i="1"/>
  <c r="O9" i="1"/>
  <c r="O7" i="1"/>
  <c r="O8" i="1"/>
  <c r="Y9" i="1" l="1"/>
  <c r="Y8" i="1"/>
  <c r="N26" i="1"/>
  <c r="O26" i="1" s="1"/>
  <c r="N14" i="1"/>
  <c r="AF21" i="11"/>
  <c r="G53" i="1"/>
  <c r="I53" i="1"/>
  <c r="J53" i="1"/>
  <c r="N53" i="1"/>
  <c r="O53" i="1" s="1"/>
  <c r="G54" i="1"/>
  <c r="I54" i="1"/>
  <c r="J54" i="1"/>
  <c r="N54" i="1"/>
  <c r="O54" i="1" s="1"/>
  <c r="G55" i="1"/>
  <c r="I55" i="1"/>
  <c r="J55" i="1"/>
  <c r="N55" i="1"/>
  <c r="O55" i="1" s="1"/>
  <c r="N52" i="1"/>
  <c r="O52" i="1" s="1"/>
  <c r="I52" i="1"/>
  <c r="J52" i="1"/>
  <c r="G52" i="1"/>
  <c r="G49" i="1"/>
  <c r="I49" i="1"/>
  <c r="J49" i="1"/>
  <c r="N49" i="1"/>
  <c r="O49" i="1" s="1"/>
  <c r="G50" i="1"/>
  <c r="I50" i="1"/>
  <c r="J50" i="1"/>
  <c r="N50" i="1"/>
  <c r="O50" i="1" s="1"/>
  <c r="G51" i="1"/>
  <c r="I51" i="1"/>
  <c r="J51" i="1"/>
  <c r="N51" i="1"/>
  <c r="O51" i="1" s="1"/>
  <c r="G46" i="1"/>
  <c r="I46" i="1"/>
  <c r="J46" i="1"/>
  <c r="N46" i="1"/>
  <c r="O46" i="1" s="1"/>
  <c r="G47" i="1"/>
  <c r="I47" i="1"/>
  <c r="J47" i="1"/>
  <c r="N47" i="1"/>
  <c r="O47" i="1" s="1"/>
  <c r="G48" i="1"/>
  <c r="I48" i="1"/>
  <c r="J48" i="1"/>
  <c r="N48" i="1"/>
  <c r="O48" i="1" s="1"/>
  <c r="E25" i="1"/>
  <c r="E13" i="1"/>
  <c r="J27" i="1"/>
  <c r="J28" i="1"/>
  <c r="J29" i="1"/>
  <c r="J30" i="1"/>
  <c r="J31" i="1"/>
  <c r="J32" i="1"/>
  <c r="J33" i="1"/>
  <c r="J34" i="1"/>
  <c r="J35" i="1"/>
  <c r="J36" i="1"/>
  <c r="J37" i="1"/>
  <c r="J38" i="1"/>
  <c r="J39" i="1"/>
  <c r="J40" i="1"/>
  <c r="J41" i="1"/>
  <c r="J42" i="1"/>
  <c r="J43" i="1"/>
  <c r="J44" i="1"/>
  <c r="J45" i="1"/>
  <c r="J26" i="1"/>
  <c r="B34" i="11"/>
  <c r="B35" i="11"/>
  <c r="B36" i="11"/>
  <c r="B37" i="11"/>
  <c r="B38" i="11"/>
  <c r="B39" i="11"/>
  <c r="B40" i="11"/>
  <c r="B33" i="11"/>
  <c r="A33" i="11"/>
  <c r="A28" i="11"/>
  <c r="E28" i="11" s="1"/>
  <c r="A34" i="11"/>
  <c r="A35" i="11"/>
  <c r="A36" i="11"/>
  <c r="A37" i="11"/>
  <c r="A38" i="11"/>
  <c r="A39" i="11"/>
  <c r="A40" i="11"/>
  <c r="B26" i="11"/>
  <c r="A27" i="11"/>
  <c r="D27" i="11" s="1"/>
  <c r="N27" i="1"/>
  <c r="O27" i="1" s="1"/>
  <c r="N30" i="1"/>
  <c r="O30" i="1" s="1"/>
  <c r="N31" i="1"/>
  <c r="O31" i="1" s="1"/>
  <c r="N32" i="1"/>
  <c r="O32" i="1" s="1"/>
  <c r="N33" i="1"/>
  <c r="O33" i="1" s="1"/>
  <c r="N34" i="1"/>
  <c r="O34" i="1" s="1"/>
  <c r="N35" i="1"/>
  <c r="O35" i="1" s="1"/>
  <c r="N36" i="1"/>
  <c r="O36" i="1" s="1"/>
  <c r="N37" i="1"/>
  <c r="O37" i="1" s="1"/>
  <c r="N38" i="1"/>
  <c r="O38" i="1" s="1"/>
  <c r="N39" i="1"/>
  <c r="O39" i="1" s="1"/>
  <c r="N40" i="1"/>
  <c r="O40" i="1" s="1"/>
  <c r="N41" i="1"/>
  <c r="O41" i="1" s="1"/>
  <c r="N42" i="1"/>
  <c r="O42" i="1" s="1"/>
  <c r="N43" i="1"/>
  <c r="O43" i="1" s="1"/>
  <c r="N44" i="1"/>
  <c r="O44" i="1" s="1"/>
  <c r="N45" i="1"/>
  <c r="O45" i="1" s="1"/>
  <c r="G26" i="1"/>
  <c r="I26" i="1"/>
  <c r="G27" i="1"/>
  <c r="I27" i="1"/>
  <c r="I28" i="1" s="1"/>
  <c r="I29" i="1" s="1"/>
  <c r="G30" i="1"/>
  <c r="I30" i="1"/>
  <c r="G31" i="1"/>
  <c r="I31" i="1"/>
  <c r="G32" i="1"/>
  <c r="I32" i="1"/>
  <c r="I45" i="1"/>
  <c r="I44" i="1"/>
  <c r="I43" i="1"/>
  <c r="I42" i="1"/>
  <c r="I41" i="1"/>
  <c r="I40" i="1"/>
  <c r="I39" i="1"/>
  <c r="I38" i="1"/>
  <c r="I37" i="1"/>
  <c r="I36" i="1"/>
  <c r="I35" i="1"/>
  <c r="I34" i="1"/>
  <c r="I33" i="1"/>
  <c r="G33" i="1"/>
  <c r="G34" i="1"/>
  <c r="G35" i="1"/>
  <c r="G36" i="1"/>
  <c r="G37" i="1"/>
  <c r="G38" i="1"/>
  <c r="G39" i="1"/>
  <c r="G40" i="1"/>
  <c r="G41" i="1"/>
  <c r="G42" i="1"/>
  <c r="G43" i="1"/>
  <c r="G44" i="1"/>
  <c r="G45" i="1"/>
  <c r="B29" i="11" l="1"/>
  <c r="E27" i="11"/>
  <c r="B27" i="11" s="1"/>
  <c r="D28" i="11"/>
  <c r="B28" i="11" s="1" a="1"/>
  <c r="B28" i="11" s="1"/>
  <c r="F34" i="11" a="1"/>
  <c r="F34" i="11" s="1"/>
  <c r="F33" i="11" a="1"/>
  <c r="F33" i="11" s="1"/>
  <c r="F40" i="11" a="1"/>
  <c r="F40" i="11" s="1"/>
  <c r="F39" i="11" a="1"/>
  <c r="F39" i="11" s="1"/>
  <c r="F38" i="11" a="1"/>
  <c r="F38" i="11" s="1"/>
  <c r="F37" i="11" a="1"/>
  <c r="F37" i="11" s="1"/>
  <c r="F36" i="11" a="1"/>
  <c r="F36" i="11" s="1"/>
  <c r="F35" i="11" a="1"/>
  <c r="F35" i="11" s="1"/>
  <c r="G28" i="1"/>
  <c r="G29" i="1" s="1"/>
  <c r="N28" i="1"/>
  <c r="O28" i="1" s="1"/>
  <c r="C28" i="11" l="1" a="1"/>
  <c r="C28" i="11" s="1"/>
  <c r="G40" i="11" a="1"/>
  <c r="G40" i="11" s="1"/>
  <c r="G39" i="11" a="1"/>
  <c r="G39" i="11" s="1"/>
  <c r="G38" i="11" a="1"/>
  <c r="G38" i="11" s="1"/>
  <c r="G37" i="11" a="1"/>
  <c r="G37" i="11" s="1"/>
  <c r="G36" i="11" a="1"/>
  <c r="G36" i="11" s="1"/>
  <c r="G35" i="11" a="1"/>
  <c r="G35" i="11" s="1"/>
  <c r="G34" i="11" a="1"/>
  <c r="G34" i="11" s="1"/>
  <c r="G33" i="11" a="1"/>
  <c r="G33" i="11" s="1"/>
  <c r="E32" i="11"/>
  <c r="D27" i="1"/>
  <c r="D28" i="1" s="1"/>
  <c r="D29" i="1" s="1"/>
  <c r="D30" i="1" s="1"/>
  <c r="D31" i="1" s="1"/>
  <c r="D32" i="1" s="1"/>
  <c r="D33" i="1" s="1"/>
  <c r="D34" i="1" s="1"/>
  <c r="D35" i="1" s="1"/>
  <c r="D36" i="1" s="1"/>
  <c r="D37" i="1" s="1"/>
  <c r="D38" i="1" s="1"/>
  <c r="D39" i="1" s="1"/>
  <c r="D40" i="1" s="1"/>
  <c r="D41" i="1" s="1"/>
  <c r="D42" i="1" s="1"/>
  <c r="D43" i="1" s="1"/>
  <c r="D44" i="1" s="1"/>
  <c r="D45" i="1" s="1"/>
  <c r="D46" i="1" s="1"/>
  <c r="D47" i="1" s="1"/>
  <c r="D48" i="1" s="1"/>
  <c r="D49" i="1" s="1"/>
  <c r="D50" i="1" s="1"/>
  <c r="D51" i="1" s="1"/>
  <c r="D52" i="1" s="1"/>
  <c r="D53" i="1" s="1"/>
  <c r="D54" i="1" s="1"/>
  <c r="D55" i="1" s="1"/>
  <c r="N29" i="1"/>
  <c r="O29" i="1" s="1"/>
  <c r="W25" i="1" s="1"/>
  <c r="L8" i="1"/>
  <c r="I42" i="6"/>
  <c r="J42" i="6" s="1"/>
  <c r="I43" i="6"/>
  <c r="J43" i="6" s="1"/>
  <c r="I44" i="6"/>
  <c r="J44" i="6" s="1"/>
  <c r="I45" i="6"/>
  <c r="J45" i="6" s="1"/>
  <c r="I46" i="6"/>
  <c r="J46" i="6" s="1"/>
  <c r="I47" i="6"/>
  <c r="J47" i="6" s="1"/>
  <c r="I48" i="6"/>
  <c r="J48" i="6" s="1"/>
  <c r="I49" i="6"/>
  <c r="J49" i="6" s="1"/>
  <c r="I50" i="6"/>
  <c r="J50" i="6" s="1"/>
  <c r="I51" i="6"/>
  <c r="J51" i="6" s="1"/>
  <c r="I52" i="6"/>
  <c r="J52" i="6" s="1"/>
  <c r="I53" i="6"/>
  <c r="J53" i="6" s="1"/>
  <c r="I54" i="6"/>
  <c r="J54" i="6" s="1"/>
  <c r="I55" i="6"/>
  <c r="J55" i="6" s="1"/>
  <c r="I56" i="6"/>
  <c r="J56" i="6" s="1"/>
  <c r="I57" i="6"/>
  <c r="J57" i="6" s="1"/>
  <c r="I58" i="6"/>
  <c r="J58" i="6" s="1"/>
  <c r="I59" i="6"/>
  <c r="J59" i="6" s="1"/>
  <c r="I60" i="6"/>
  <c r="J60" i="6" s="1"/>
  <c r="I2" i="6"/>
  <c r="J2" i="6" s="1"/>
  <c r="F2" i="6"/>
  <c r="O38" i="2"/>
  <c r="H34" i="11" l="1" a="1"/>
  <c r="H34" i="11" s="1"/>
  <c r="H40" i="11" a="1"/>
  <c r="H40" i="11" s="1"/>
  <c r="H35" i="11" a="1"/>
  <c r="H35" i="11" s="1"/>
  <c r="H36" i="11" a="1"/>
  <c r="H36" i="11" s="1"/>
  <c r="H37" i="11" a="1"/>
  <c r="H37" i="11" s="1"/>
  <c r="H38" i="11" a="1"/>
  <c r="H38" i="11" s="1"/>
  <c r="H39" i="11" a="1"/>
  <c r="H39" i="11" s="1"/>
  <c r="H33" i="11" a="1"/>
  <c r="H33" i="11" s="1"/>
  <c r="Y25" i="1" a="1"/>
  <c r="Y25" i="1" s="1"/>
  <c r="X25" i="1" a="1"/>
  <c r="X25" i="1" s="1"/>
  <c r="E33" i="11"/>
  <c r="E34" i="11" s="1"/>
  <c r="E35" i="11" s="1"/>
  <c r="E36" i="11" s="1"/>
  <c r="E37" i="11" s="1"/>
  <c r="E38" i="11" s="1"/>
  <c r="E39" i="11" s="1"/>
  <c r="D32" i="11"/>
  <c r="M23" i="1" l="1"/>
  <c r="O23" i="1" s="1"/>
  <c r="N23" i="1" s="1"/>
  <c r="I33" i="11"/>
  <c r="I34" i="11"/>
  <c r="I38" i="11"/>
  <c r="I37" i="11"/>
  <c r="I36" i="11"/>
  <c r="I35" i="11"/>
  <c r="L23" i="1" l="1"/>
  <c r="C7" i="2"/>
  <c r="C6" i="2"/>
  <c r="B21" i="2"/>
  <c r="P21" i="2" s="1"/>
  <c r="D21" i="2" s="1"/>
  <c r="B20" i="2"/>
  <c r="B17" i="2"/>
  <c r="P17" i="2" s="1"/>
  <c r="D17" i="2" s="1"/>
  <c r="B16" i="2"/>
  <c r="B19" i="2"/>
  <c r="P19" i="2" s="1"/>
  <c r="D19" i="2" s="1"/>
  <c r="B18" i="2"/>
  <c r="B25" i="2"/>
  <c r="P25" i="2" s="1"/>
  <c r="D25" i="2" s="1"/>
  <c r="B24" i="2"/>
  <c r="B23" i="2"/>
  <c r="P23" i="2" s="1"/>
  <c r="D23" i="2" s="1"/>
  <c r="B22" i="2"/>
  <c r="B15" i="2"/>
  <c r="P15" i="2" s="1"/>
  <c r="D15" i="2" s="1"/>
  <c r="B14" i="2"/>
  <c r="B27" i="2"/>
  <c r="P27" i="2" s="1"/>
  <c r="D27" i="2" s="1"/>
  <c r="B26" i="2"/>
  <c r="B33" i="2"/>
  <c r="P33" i="2" s="1"/>
  <c r="D33" i="2" s="1"/>
  <c r="B32" i="2"/>
  <c r="B13" i="2"/>
  <c r="P13" i="2" s="1"/>
  <c r="D13" i="2" s="1"/>
  <c r="B12" i="2"/>
  <c r="B9" i="2"/>
  <c r="P9" i="2" s="1"/>
  <c r="D9" i="2" s="1"/>
  <c r="B8" i="2"/>
  <c r="B29" i="2"/>
  <c r="P29" i="2" s="1"/>
  <c r="D29" i="2" s="1"/>
  <c r="B28" i="2"/>
  <c r="B11" i="2"/>
  <c r="P11" i="2" s="1"/>
  <c r="D11" i="2" s="1"/>
  <c r="B10" i="2"/>
  <c r="B31" i="2"/>
  <c r="P31" i="2" s="1"/>
  <c r="D31" i="2" s="1"/>
  <c r="B30" i="2"/>
  <c r="B37" i="2"/>
  <c r="P37" i="2" s="1"/>
  <c r="D37" i="2" s="1"/>
  <c r="B36" i="2"/>
  <c r="B35" i="2"/>
  <c r="P35" i="2" s="1"/>
  <c r="D35" i="2" s="1"/>
  <c r="B34" i="2"/>
  <c r="B3" i="2"/>
  <c r="P3" i="2" s="1"/>
  <c r="D3" i="2" s="1"/>
  <c r="B2" i="2"/>
  <c r="B5" i="2"/>
  <c r="P5" i="2" s="1"/>
  <c r="D5" i="2" s="1"/>
  <c r="B4" i="2"/>
  <c r="B41" i="2"/>
  <c r="P41" i="2" s="1"/>
  <c r="D41" i="2" s="1"/>
  <c r="B40" i="2"/>
  <c r="B7" i="2"/>
  <c r="P7" i="2" s="1"/>
  <c r="D7" i="2" s="1"/>
  <c r="B6" i="2"/>
  <c r="B39" i="2"/>
  <c r="P39" i="2" s="1"/>
  <c r="B38" i="2"/>
  <c r="D39" i="2" l="1"/>
  <c r="I3" i="6"/>
  <c r="J3" i="6" s="1"/>
  <c r="O39" i="2"/>
  <c r="F38" i="2"/>
  <c r="E38" i="2"/>
  <c r="F39" i="2"/>
  <c r="E39" i="2"/>
  <c r="E6" i="2"/>
  <c r="F6" i="2"/>
  <c r="E7" i="2"/>
  <c r="F7" i="2"/>
  <c r="A38" i="2"/>
  <c r="A39" i="2"/>
  <c r="A6" i="2"/>
  <c r="A7" i="2"/>
  <c r="C40" i="2"/>
  <c r="A40" i="2" s="1"/>
  <c r="I4" i="6"/>
  <c r="J4" i="6" s="1"/>
  <c r="C41" i="2"/>
  <c r="A41" i="2" s="1"/>
  <c r="I5" i="6"/>
  <c r="J5" i="6" s="1"/>
  <c r="F3" i="1" l="1"/>
  <c r="G3" i="1"/>
  <c r="O6" i="2"/>
  <c r="O7" i="2" s="1"/>
  <c r="O40" i="2" s="1"/>
  <c r="O41" i="2" s="1"/>
  <c r="O4" i="2" s="1"/>
  <c r="O5" i="2" s="1"/>
  <c r="O2" i="2" s="1"/>
  <c r="O3" i="2" s="1"/>
  <c r="O34" i="2" s="1"/>
  <c r="O35" i="2" s="1"/>
  <c r="O36" i="2" s="1"/>
  <c r="O37" i="2" s="1"/>
  <c r="O30" i="2" s="1"/>
  <c r="O31" i="2" s="1"/>
  <c r="O10" i="2" s="1"/>
  <c r="O11" i="2" s="1"/>
  <c r="O28" i="2" s="1"/>
  <c r="O29" i="2" s="1"/>
  <c r="O8" i="2" s="1"/>
  <c r="O9" i="2" s="1"/>
  <c r="O12" i="2" s="1"/>
  <c r="O13" i="2" s="1"/>
  <c r="O32" i="2" s="1"/>
  <c r="O33" i="2" s="1"/>
  <c r="O26" i="2" s="1"/>
  <c r="O27" i="2" s="1"/>
  <c r="O14" i="2" s="1"/>
  <c r="O15" i="2" s="1"/>
  <c r="O22" i="2" s="1"/>
  <c r="O23" i="2" s="1"/>
  <c r="O24" i="2" s="1"/>
  <c r="O25" i="2" s="1"/>
  <c r="O18" i="2" s="1"/>
  <c r="O19" i="2" s="1"/>
  <c r="O16" i="2" s="1"/>
  <c r="O17" i="2" s="1"/>
  <c r="O20" i="2" s="1"/>
  <c r="O21" i="2" s="1"/>
  <c r="E40" i="2"/>
  <c r="F40" i="2"/>
  <c r="E41" i="2"/>
  <c r="F41" i="2"/>
  <c r="C4" i="2"/>
  <c r="I6" i="6"/>
  <c r="J6" i="6" s="1"/>
  <c r="C5" i="2"/>
  <c r="I7" i="6"/>
  <c r="J7" i="6" s="1"/>
  <c r="F3" i="6" l="1"/>
  <c r="F4" i="6"/>
  <c r="F4" i="2"/>
  <c r="E4" i="2"/>
  <c r="F5" i="2"/>
  <c r="E5" i="2"/>
  <c r="C3" i="2"/>
  <c r="I9" i="6"/>
  <c r="J9" i="6" s="1"/>
  <c r="A5" i="2"/>
  <c r="C2" i="2"/>
  <c r="I8" i="6"/>
  <c r="J8" i="6" s="1"/>
  <c r="A4" i="2"/>
  <c r="G3" i="6" l="1"/>
  <c r="G4" i="6" s="1"/>
  <c r="G2" i="6"/>
  <c r="E2" i="2"/>
  <c r="F2" i="2"/>
  <c r="E3" i="2"/>
  <c r="F3" i="2"/>
  <c r="C34" i="2"/>
  <c r="I10" i="6"/>
  <c r="J10" i="6" s="1"/>
  <c r="A2" i="2"/>
  <c r="C35" i="2"/>
  <c r="I11" i="6"/>
  <c r="J11" i="6" s="1"/>
  <c r="A3" i="2"/>
  <c r="F35" i="2" l="1"/>
  <c r="E35" i="2"/>
  <c r="F34" i="2"/>
  <c r="E34" i="2"/>
  <c r="C36" i="2"/>
  <c r="I12" i="6"/>
  <c r="J12" i="6" s="1"/>
  <c r="A34" i="2"/>
  <c r="C37" i="2"/>
  <c r="I13" i="6"/>
  <c r="J13" i="6" s="1"/>
  <c r="A35" i="2"/>
  <c r="F36" i="2" l="1"/>
  <c r="E36" i="2"/>
  <c r="E37" i="2"/>
  <c r="F37" i="2"/>
  <c r="C31" i="2"/>
  <c r="I15" i="6"/>
  <c r="J15" i="6" s="1"/>
  <c r="A37" i="2"/>
  <c r="C30" i="2"/>
  <c r="I14" i="6"/>
  <c r="J14" i="6" s="1"/>
  <c r="A36" i="2"/>
  <c r="E31" i="2" l="1"/>
  <c r="F31" i="2"/>
  <c r="E30" i="2"/>
  <c r="F30" i="2"/>
  <c r="I16" i="6"/>
  <c r="J16" i="6" s="1"/>
  <c r="C10" i="2"/>
  <c r="A30" i="2"/>
  <c r="C11" i="2"/>
  <c r="I17" i="6"/>
  <c r="J17" i="6" s="1"/>
  <c r="A31" i="2"/>
  <c r="F11" i="2" l="1"/>
  <c r="E11" i="2"/>
  <c r="E10" i="2"/>
  <c r="F10" i="2"/>
  <c r="C28" i="2"/>
  <c r="I18" i="6"/>
  <c r="J18" i="6" s="1"/>
  <c r="A10" i="2"/>
  <c r="C29" i="2"/>
  <c r="I19" i="6"/>
  <c r="J19" i="6" s="1"/>
  <c r="A11" i="2"/>
  <c r="F29" i="2" l="1"/>
  <c r="E29" i="2"/>
  <c r="E28" i="2"/>
  <c r="F28" i="2"/>
  <c r="C9" i="2"/>
  <c r="I21" i="6"/>
  <c r="J21" i="6" s="1"/>
  <c r="A29" i="2"/>
  <c r="C8" i="2"/>
  <c r="I20" i="6"/>
  <c r="J20" i="6" s="1"/>
  <c r="A28" i="2"/>
  <c r="F8" i="2" l="1"/>
  <c r="E8" i="2"/>
  <c r="E9" i="2"/>
  <c r="F9" i="2"/>
  <c r="C12" i="2"/>
  <c r="I22" i="6"/>
  <c r="J22" i="6" s="1"/>
  <c r="A8" i="2"/>
  <c r="C13" i="2"/>
  <c r="I23" i="6"/>
  <c r="J23" i="6" s="1"/>
  <c r="A9" i="2"/>
  <c r="F13" i="2" l="1"/>
  <c r="E13" i="2"/>
  <c r="F12" i="2"/>
  <c r="E12" i="2"/>
  <c r="C33" i="2"/>
  <c r="I25" i="6"/>
  <c r="J25" i="6" s="1"/>
  <c r="A13" i="2"/>
  <c r="C32" i="2"/>
  <c r="I24" i="6"/>
  <c r="J24" i="6" s="1"/>
  <c r="A12" i="2"/>
  <c r="F33" i="2" l="1"/>
  <c r="E33" i="2"/>
  <c r="E32" i="2"/>
  <c r="F32" i="2"/>
  <c r="C26" i="2"/>
  <c r="I26" i="6"/>
  <c r="J26" i="6" s="1"/>
  <c r="A32" i="2"/>
  <c r="C27" i="2"/>
  <c r="I27" i="6"/>
  <c r="J27" i="6" s="1"/>
  <c r="A33" i="2"/>
  <c r="F27" i="2" l="1"/>
  <c r="E27" i="2"/>
  <c r="E26" i="2"/>
  <c r="F26" i="2"/>
  <c r="C15" i="2"/>
  <c r="I29" i="6"/>
  <c r="J29" i="6" s="1"/>
  <c r="A27" i="2"/>
  <c r="A26" i="2"/>
  <c r="I28" i="6"/>
  <c r="J28" i="6" s="1"/>
  <c r="C14" i="2"/>
  <c r="F14" i="2" l="1"/>
  <c r="E14" i="2"/>
  <c r="F15" i="2"/>
  <c r="E15" i="2"/>
  <c r="I30" i="6"/>
  <c r="J30" i="6" s="1"/>
  <c r="C22" i="2"/>
  <c r="A14" i="2"/>
  <c r="C23" i="2"/>
  <c r="I31" i="6"/>
  <c r="J31" i="6" s="1"/>
  <c r="A15" i="2"/>
  <c r="F23" i="2" l="1"/>
  <c r="E23" i="2"/>
  <c r="E22" i="2"/>
  <c r="F22" i="2"/>
  <c r="C25" i="2"/>
  <c r="I33" i="6"/>
  <c r="J33" i="6" s="1"/>
  <c r="A23" i="2"/>
  <c r="I32" i="6"/>
  <c r="J32" i="6" s="1"/>
  <c r="C24" i="2"/>
  <c r="A22" i="2"/>
  <c r="F25" i="2" l="1"/>
  <c r="E25" i="2"/>
  <c r="F24" i="2"/>
  <c r="E24" i="2"/>
  <c r="I34" i="6"/>
  <c r="J34" i="6" s="1"/>
  <c r="C18" i="2"/>
  <c r="A24" i="2"/>
  <c r="C19" i="2"/>
  <c r="I35" i="6"/>
  <c r="J35" i="6" s="1"/>
  <c r="A25" i="2"/>
  <c r="E18" i="2" l="1"/>
  <c r="F18" i="2"/>
  <c r="F19" i="2"/>
  <c r="E19" i="2"/>
  <c r="I36" i="6"/>
  <c r="J36" i="6" s="1"/>
  <c r="C16" i="2"/>
  <c r="A18" i="2"/>
  <c r="C17" i="2"/>
  <c r="I37" i="6"/>
  <c r="J37" i="6" s="1"/>
  <c r="A19" i="2"/>
  <c r="F17" i="2" l="1"/>
  <c r="E17" i="2"/>
  <c r="F16" i="2"/>
  <c r="E16" i="2"/>
  <c r="I38" i="6"/>
  <c r="J38" i="6" s="1"/>
  <c r="C20" i="2"/>
  <c r="A16" i="2"/>
  <c r="C21" i="2"/>
  <c r="I39" i="6"/>
  <c r="J39" i="6" s="1"/>
  <c r="A17" i="2"/>
  <c r="E21" i="2" l="1"/>
  <c r="F21" i="2"/>
  <c r="E20" i="2"/>
  <c r="F20" i="2"/>
  <c r="A20" i="2"/>
  <c r="I40" i="6"/>
  <c r="J40" i="6" s="1"/>
  <c r="I41" i="6"/>
  <c r="J41" i="6" s="1"/>
  <c r="L2" i="6" s="1"/>
  <c r="A21" i="2"/>
  <c r="E9" i="1" l="1"/>
  <c r="E8" i="1"/>
  <c r="C32" i="11"/>
  <c r="I32" i="11" s="1"/>
  <c r="G8" i="1"/>
  <c r="G9" i="1"/>
  <c r="G7" i="1"/>
  <c r="D37" i="11" l="1"/>
  <c r="D35" i="11"/>
  <c r="D34" i="11"/>
  <c r="D39" i="11"/>
  <c r="D38" i="11"/>
  <c r="D36" i="11"/>
  <c r="D33" i="11"/>
  <c r="E40" i="11"/>
  <c r="D40" i="11" s="1"/>
  <c r="F32" i="11" a="1"/>
  <c r="F32" i="11" s="1"/>
  <c r="I39" i="11" s="1"/>
  <c r="O39" i="11" s="1"/>
  <c r="L39" i="11" s="1"/>
  <c r="M9" i="1"/>
  <c r="L9" i="1" s="1"/>
  <c r="B44" i="11" l="1"/>
  <c r="O36" i="11"/>
  <c r="L36" i="11" s="1"/>
  <c r="E17" i="1" s="1"/>
  <c r="K17" i="1" s="1"/>
  <c r="O35" i="11"/>
  <c r="L35" i="11" s="1"/>
  <c r="E16" i="1" s="1"/>
  <c r="K16" i="1" s="1"/>
  <c r="Q32" i="11"/>
  <c r="O32" i="11"/>
  <c r="L32" i="11" s="1"/>
  <c r="K33" i="11"/>
  <c r="K34" i="11" s="1"/>
  <c r="K35" i="11" s="1"/>
  <c r="K36" i="11" s="1"/>
  <c r="K37" i="11" s="1"/>
  <c r="K38" i="11" s="1"/>
  <c r="Q38" i="11" s="1"/>
  <c r="N38" i="11" s="1"/>
  <c r="I19" i="1" s="1"/>
  <c r="O33" i="11"/>
  <c r="L33" i="11" s="1"/>
  <c r="E14" i="1" s="1"/>
  <c r="P32" i="11"/>
  <c r="J33" i="11"/>
  <c r="J34" i="11" s="1"/>
  <c r="J35" i="11" s="1"/>
  <c r="J36" i="11" s="1"/>
  <c r="J37" i="11" s="1"/>
  <c r="J38" i="11" s="1"/>
  <c r="J39" i="11" s="1"/>
  <c r="I40" i="11"/>
  <c r="O40" i="11" s="1"/>
  <c r="L40" i="11" s="1"/>
  <c r="O38" i="11"/>
  <c r="L38" i="11" s="1"/>
  <c r="E19" i="1" s="1"/>
  <c r="K19" i="1" s="1"/>
  <c r="O37" i="11"/>
  <c r="L37" i="11" s="1"/>
  <c r="E18" i="1" s="1"/>
  <c r="K18" i="1" s="1"/>
  <c r="O34" i="11"/>
  <c r="L34" i="11" s="1"/>
  <c r="E15" i="1" s="1"/>
  <c r="E20" i="1"/>
  <c r="K20" i="1" s="1"/>
  <c r="M40" i="11" l="1"/>
  <c r="G21" i="1" s="1"/>
  <c r="J40" i="11"/>
  <c r="P40" i="11" s="1"/>
  <c r="K14" i="1"/>
  <c r="D14" i="1"/>
  <c r="D15" i="1" s="1"/>
  <c r="D16" i="1" s="1"/>
  <c r="D17" i="1" s="1"/>
  <c r="D18" i="1" s="1"/>
  <c r="D19" i="1" s="1"/>
  <c r="D20" i="1" s="1"/>
  <c r="M32" i="11"/>
  <c r="N32" i="11"/>
  <c r="Q33" i="11"/>
  <c r="N33" i="11" s="1"/>
  <c r="I14" i="1" s="1"/>
  <c r="H14" i="1" s="1"/>
  <c r="P35" i="11"/>
  <c r="M35" i="11" s="1"/>
  <c r="G16" i="1" s="1"/>
  <c r="Q36" i="11"/>
  <c r="N36" i="11" s="1"/>
  <c r="I17" i="1" s="1"/>
  <c r="E21" i="1"/>
  <c r="K21" i="1" s="1"/>
  <c r="P37" i="11"/>
  <c r="M37" i="11" s="1"/>
  <c r="G18" i="1" s="1"/>
  <c r="P38" i="11"/>
  <c r="M38" i="11" s="1"/>
  <c r="G19" i="1" s="1"/>
  <c r="P33" i="11"/>
  <c r="M33" i="11" s="1"/>
  <c r="G14" i="1" s="1"/>
  <c r="F14" i="1" s="1"/>
  <c r="P34" i="11"/>
  <c r="M34" i="11" s="1"/>
  <c r="G15" i="1" s="1"/>
  <c r="K39" i="11"/>
  <c r="K40" i="11" s="1"/>
  <c r="Q40" i="11" s="1"/>
  <c r="N40" i="11" s="1"/>
  <c r="I21" i="1" s="1"/>
  <c r="Q34" i="11"/>
  <c r="N34" i="11" s="1"/>
  <c r="I15" i="1" s="1"/>
  <c r="Q35" i="11"/>
  <c r="N35" i="11" s="1"/>
  <c r="I16" i="1" s="1"/>
  <c r="P36" i="11"/>
  <c r="M36" i="11" s="1"/>
  <c r="G17" i="1" s="1"/>
  <c r="Q37" i="11"/>
  <c r="N37" i="11" s="1"/>
  <c r="I18" i="1" s="1"/>
  <c r="H19" i="1" s="1"/>
  <c r="K15" i="1"/>
  <c r="P39" i="11"/>
  <c r="M39" i="11" s="1"/>
  <c r="G20" i="1" s="1"/>
  <c r="F16" i="1" l="1"/>
  <c r="M16" i="1" s="1"/>
  <c r="J14" i="1"/>
  <c r="H18" i="1"/>
  <c r="D21" i="1"/>
  <c r="F19" i="1"/>
  <c r="M19" i="1" s="1"/>
  <c r="F20" i="1"/>
  <c r="M20" i="1" s="1"/>
  <c r="H15" i="1"/>
  <c r="F18" i="1"/>
  <c r="M18" i="1" s="1"/>
  <c r="H16" i="1"/>
  <c r="H17" i="1"/>
  <c r="F17" i="1"/>
  <c r="M17" i="1" s="1"/>
  <c r="Q39" i="11"/>
  <c r="N39" i="11" s="1"/>
  <c r="I20" i="1" s="1"/>
  <c r="M14" i="1"/>
  <c r="O14" i="1" s="1"/>
  <c r="N15" i="1" s="1"/>
  <c r="F15" i="1"/>
  <c r="M15" i="1" s="1"/>
  <c r="F21" i="1"/>
  <c r="M21" i="1" s="1"/>
  <c r="J16" i="1" l="1"/>
  <c r="J17" i="1"/>
  <c r="O15" i="1"/>
  <c r="N16" i="1" s="1"/>
  <c r="O16" i="1" s="1"/>
  <c r="N17" i="1" s="1"/>
  <c r="O17" i="1" s="1"/>
  <c r="J15" i="1"/>
  <c r="J19" i="1"/>
  <c r="J18" i="1"/>
  <c r="H21" i="1"/>
  <c r="J21" i="1" s="1"/>
  <c r="H20" i="1"/>
  <c r="J20" i="1" s="1"/>
  <c r="N18" i="1" l="1"/>
  <c r="O18" i="1" s="1"/>
  <c r="N19" i="1" l="1"/>
  <c r="O19" i="1" s="1"/>
  <c r="N20" i="1" l="1"/>
  <c r="O20" i="1" s="1"/>
  <c r="N21" i="1" s="1"/>
  <c r="O21" i="1" s="1"/>
  <c r="Y13" i="1" l="1" a="1"/>
  <c r="Y13" i="1" s="1"/>
  <c r="X13" i="1" a="1"/>
  <c r="X13" i="1" s="1"/>
  <c r="W13" i="1"/>
  <c r="M11" i="1" l="1"/>
  <c r="L11" i="1" s="1"/>
  <c r="O11" i="1" l="1"/>
  <c r="N1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<sst xmlns="http://schemas.openxmlformats.org/spreadsheetml/2006/main" count="592" uniqueCount="417">
  <si>
    <t>départ</t>
  </si>
  <si>
    <t>arrivée</t>
  </si>
  <si>
    <t>Flèche</t>
  </si>
  <si>
    <t>Parcours</t>
  </si>
  <si>
    <t>Feuille de route</t>
  </si>
  <si>
    <t>DIEPPE</t>
  </si>
  <si>
    <t>7h40</t>
  </si>
  <si>
    <t>9h35</t>
  </si>
  <si>
    <t>58h</t>
  </si>
  <si>
    <t>7h05</t>
  </si>
  <si>
    <t>8h50</t>
  </si>
  <si>
    <t>53h</t>
  </si>
  <si>
    <t>CHARLEVILLE</t>
  </si>
  <si>
    <t>10h40</t>
  </si>
  <si>
    <t>13h35</t>
  </si>
  <si>
    <t>73h</t>
  </si>
  <si>
    <t>10h</t>
  </si>
  <si>
    <t>12h45</t>
  </si>
  <si>
    <t>69h</t>
  </si>
  <si>
    <t>LE HAVRE</t>
  </si>
  <si>
    <t>11h05</t>
  </si>
  <si>
    <t>14h10</t>
  </si>
  <si>
    <t>76h</t>
  </si>
  <si>
    <t>10h20</t>
  </si>
  <si>
    <t>13h30</t>
  </si>
  <si>
    <t>72h</t>
  </si>
  <si>
    <t>LILLE</t>
  </si>
  <si>
    <t>12h</t>
  </si>
  <si>
    <t>15h15</t>
  </si>
  <si>
    <t>82h</t>
  </si>
  <si>
    <t>11h15</t>
  </si>
  <si>
    <t>14h25</t>
  </si>
  <si>
    <t>78h</t>
  </si>
  <si>
    <t>CALAIS</t>
  </si>
  <si>
    <t>13h</t>
  </si>
  <si>
    <t>16h40</t>
  </si>
  <si>
    <t>90h</t>
  </si>
  <si>
    <t>12h15</t>
  </si>
  <si>
    <t>15h40</t>
  </si>
  <si>
    <t>84h</t>
  </si>
  <si>
    <t>MONT ST MICHEL</t>
  </si>
  <si>
    <t>19h40</t>
  </si>
  <si>
    <t>98h</t>
  </si>
  <si>
    <t>14h</t>
  </si>
  <si>
    <t>18h10</t>
  </si>
  <si>
    <t>93h</t>
  </si>
  <si>
    <t>CHERBOURG</t>
  </si>
  <si>
    <t>20h</t>
  </si>
  <si>
    <t>36h</t>
  </si>
  <si>
    <t>122h</t>
  </si>
  <si>
    <t>19h</t>
  </si>
  <si>
    <t>35h</t>
  </si>
  <si>
    <t>118h</t>
  </si>
  <si>
    <t>NANTES</t>
  </si>
  <si>
    <t>129h</t>
  </si>
  <si>
    <t>19h30</t>
  </si>
  <si>
    <t>35h20</t>
  </si>
  <si>
    <t>126h</t>
  </si>
  <si>
    <t>MONTBELIARD</t>
  </si>
  <si>
    <t>23h15</t>
  </si>
  <si>
    <t>40h</t>
  </si>
  <si>
    <t>140h</t>
  </si>
  <si>
    <t>22h20</t>
  </si>
  <si>
    <t>38h</t>
  </si>
  <si>
    <t>134h</t>
  </si>
  <si>
    <t>LA ROCHELLE</t>
  </si>
  <si>
    <t>24h25</t>
  </si>
  <si>
    <t>146h</t>
  </si>
  <si>
    <t>23h35</t>
  </si>
  <si>
    <t>141h</t>
  </si>
  <si>
    <t>STRASBOURG</t>
  </si>
  <si>
    <t>27h20</t>
  </si>
  <si>
    <t>44h</t>
  </si>
  <si>
    <t>147h</t>
  </si>
  <si>
    <t>26h30</t>
  </si>
  <si>
    <t>42h30</t>
  </si>
  <si>
    <t>144h</t>
  </si>
  <si>
    <t>BELLEGARDE</t>
  </si>
  <si>
    <t>34h30</t>
  </si>
  <si>
    <t>60h</t>
  </si>
  <si>
    <t>175h</t>
  </si>
  <si>
    <t>33h15</t>
  </si>
  <si>
    <t>58h20</t>
  </si>
  <si>
    <t>168h</t>
  </si>
  <si>
    <t>BREST</t>
  </si>
  <si>
    <t>36h15</t>
  </si>
  <si>
    <t>61h</t>
  </si>
  <si>
    <t>185h</t>
  </si>
  <si>
    <t>35h35</t>
  </si>
  <si>
    <t>181h</t>
  </si>
  <si>
    <t>BORDEAUX</t>
  </si>
  <si>
    <t>63h</t>
  </si>
  <si>
    <t>186h</t>
  </si>
  <si>
    <t>34h10</t>
  </si>
  <si>
    <t>62h</t>
  </si>
  <si>
    <t>181h30</t>
  </si>
  <si>
    <t>BRIANCON</t>
  </si>
  <si>
    <t>51h</t>
  </si>
  <si>
    <t>83h</t>
  </si>
  <si>
    <t>235h</t>
  </si>
  <si>
    <t>50h10</t>
  </si>
  <si>
    <t>230h</t>
  </si>
  <si>
    <t>LUCHON</t>
  </si>
  <si>
    <t>86h</t>
  </si>
  <si>
    <t>258h</t>
  </si>
  <si>
    <t>58h45</t>
  </si>
  <si>
    <t>84h30</t>
  </si>
  <si>
    <t>234h</t>
  </si>
  <si>
    <t>HENDAYE</t>
  </si>
  <si>
    <t>270h</t>
  </si>
  <si>
    <t>267h</t>
  </si>
  <si>
    <t>MARSEILLE</t>
  </si>
  <si>
    <t>64h</t>
  </si>
  <si>
    <t>100h</t>
  </si>
  <si>
    <t>273h</t>
  </si>
  <si>
    <t>62h45</t>
  </si>
  <si>
    <t>98h30</t>
  </si>
  <si>
    <t>269h</t>
  </si>
  <si>
    <t>NICE</t>
  </si>
  <si>
    <t>80h</t>
  </si>
  <si>
    <t>120h</t>
  </si>
  <si>
    <t>307h</t>
  </si>
  <si>
    <t>79h</t>
  </si>
  <si>
    <t>118h30</t>
  </si>
  <si>
    <t>301h</t>
  </si>
  <si>
    <t>PERPIGNAN</t>
  </si>
  <si>
    <t>295h</t>
  </si>
  <si>
    <t>76h30</t>
  </si>
  <si>
    <t>290h</t>
  </si>
  <si>
    <t>Option</t>
  </si>
  <si>
    <t>Or</t>
  </si>
  <si>
    <t>Argent</t>
  </si>
  <si>
    <t>Bronze</t>
  </si>
  <si>
    <t>code</t>
  </si>
  <si>
    <t>Liste</t>
  </si>
  <si>
    <t>Distance
km</t>
  </si>
  <si>
    <t>Dénivelé
m</t>
  </si>
  <si>
    <t>Heures</t>
  </si>
  <si>
    <t>Minutes</t>
  </si>
  <si>
    <t>LA FRETTE</t>
  </si>
  <si>
    <t>TAVERNY</t>
  </si>
  <si>
    <t>LE PECQ</t>
  </si>
  <si>
    <t>VERSAILLES</t>
  </si>
  <si>
    <t>MONTGERON</t>
  </si>
  <si>
    <t>PALAISEAU</t>
  </si>
  <si>
    <t>BIEVRES</t>
  </si>
  <si>
    <t>ATHIS-MONS</t>
  </si>
  <si>
    <t>Lieu de départ ou d'arrivée</t>
  </si>
  <si>
    <t>Lieu de départ</t>
  </si>
  <si>
    <t>Selection</t>
  </si>
  <si>
    <t>Lieu d'arrivée</t>
  </si>
  <si>
    <t>Arrivée à</t>
  </si>
  <si>
    <t>Liste des déports</t>
  </si>
  <si>
    <t>Départ de</t>
  </si>
  <si>
    <t>https://www.openrunner.com/route-details/16059614</t>
  </si>
  <si>
    <t>https://www.audax-club-parisien.com/wp-content/uploads/2024/03/10_FF_iti_Paris-Perpignan.pdf</t>
  </si>
  <si>
    <t>https://www.openrunner.com/route-details/18001619</t>
  </si>
  <si>
    <t>https://www.openrunner.com/route-details/19863360</t>
  </si>
  <si>
    <t>https://www.openrunner.com/route-details/18054639</t>
  </si>
  <si>
    <t>https://www.openrunner.com/route-details/18054124</t>
  </si>
  <si>
    <t>https://www.openrunner.com/route-details/18054362</t>
  </si>
  <si>
    <t>https://www.openrunner.com/route-details/18054505</t>
  </si>
  <si>
    <t>https://www.openrunner.com/route-details/16123846</t>
  </si>
  <si>
    <t>https://www.openrunner.com/route-details/18054694</t>
  </si>
  <si>
    <t>https://www.openrunner.com/route-details/17793209</t>
  </si>
  <si>
    <t>https://www.openrunner.com/route-details/18099187</t>
  </si>
  <si>
    <t>https://www.openrunner.com/route-details/18134918</t>
  </si>
  <si>
    <t>https://www.openrunner.com/route-details/18054224</t>
  </si>
  <si>
    <t>https://www.openrunner.com/route-details/20763473</t>
  </si>
  <si>
    <t>https://www.openrunner.com/route-details/17060340</t>
  </si>
  <si>
    <t>https://www.openrunner.com/route-details/18160243</t>
  </si>
  <si>
    <t>https://www.openrunner.com/route-details/18160138</t>
  </si>
  <si>
    <t>https://www.openrunner.com/route-details/18160576</t>
  </si>
  <si>
    <t>https://www.openrunner.com/route-details/18775372</t>
  </si>
  <si>
    <t>https://www.openrunner.com/route-details/18160636</t>
  </si>
  <si>
    <t>https://www.audax-club-parisien.com/wp-content/uploads/2024/03/20-FF_Paris_Dieppe-1.pdf</t>
  </si>
  <si>
    <t>https://www.audax-club-parisien.com/wp-content/uploads/2024/03/03-FF_iti_Paris-Charleville.pdf</t>
  </si>
  <si>
    <t>https://www.audax-club-parisien.com/wp-content/uploads/2025/01/19-FF_iti_Paris-Le-Havre_2025.pdf</t>
  </si>
  <si>
    <t>https://www.audax-club-parisien.com/wp-content/uploads/2024/03/02_FF_iti_Paris-Lille.pdf</t>
  </si>
  <si>
    <t>https://www.audax-club-parisien.com/wp-content/uploads/2024/03/01_FF_iti_Paris-Calais.pdf</t>
  </si>
  <si>
    <t>https://www.audax-club-parisien.com/wp-content/uploads/2024/03/17_FF_iti_Paris-Mont-St-Michel.pdf</t>
  </si>
  <si>
    <t>https://www.audax-club-parisien.com/wp-content/uploads/2024/03/18_FF_iti_Paris-Cherbourg.pdf</t>
  </si>
  <si>
    <t>https://www.audax-club-parisien.com/wp-content/uploads/2025/01/15-FF_iti_Paris-Nantes_2025.pdf</t>
  </si>
  <si>
    <t>https://www.audax-club-parisien.com/wp-content/uploads/2024/03/05_FF_iti_Paris-Montbeliard.pdf</t>
  </si>
  <si>
    <t>https://www.audax-club-parisien.com/wp-content/uploads/2024/03/14-FF_iti_Paris-La-Rochelle.pdf</t>
  </si>
  <si>
    <t>https://www.audax-club-parisien.com/wp-content/uploads/2024/03/04_FF_iti_Paris-Strasbourg.pdf</t>
  </si>
  <si>
    <t>https://www.audax-club-parisien.com/wp-content/uploads/2024/03/06_FF_iti_Paris-Bellegarde.pdf</t>
  </si>
  <si>
    <t>https://www.audax-club-parisien.com/wp-content/uploads/2024/03/16_FF_iti_Paris-Brest.pdf</t>
  </si>
  <si>
    <t>https://www.audax-club-parisien.com/wp-content/uploads/2025/02/13-FF_iti_Paris-Bordeaux_2025_v2.pdf</t>
  </si>
  <si>
    <t>https://www.audax-club-parisien.com/wp-content/uploads/2025/01/07-FF_iti_Paris-Briancon_2025.pdf</t>
  </si>
  <si>
    <t>https://www.audax-club-parisien.com/wp-content/uploads/2024/03/11_FF_iti_Paris-Luchon.pdf</t>
  </si>
  <si>
    <t>https://www.audax-club-parisien.com/wp-content/uploads/2024/03/12_FF_iti_Paris-Hendaye.pdf</t>
  </si>
  <si>
    <t>https://www.audax-club-parisien.com/wp-content/uploads/2024/03/09_FF_iti_Paris-Marseille.pdf</t>
  </si>
  <si>
    <t>https://www.audax-club-parisien.com/wp-content/uploads/2025/01/08-FF_iti_Paris-Nice_2025.pdf</t>
  </si>
  <si>
    <t>Etapes</t>
  </si>
  <si>
    <t>KM</t>
  </si>
  <si>
    <t>D+</t>
  </si>
  <si>
    <t>Durée</t>
  </si>
  <si>
    <t>#</t>
  </si>
  <si>
    <t>Départ</t>
  </si>
  <si>
    <t xml:space="preserve">Étape </t>
  </si>
  <si>
    <t>Arrivée</t>
  </si>
  <si>
    <t>Mn</t>
  </si>
  <si>
    <t>Pause
en Mn</t>
  </si>
  <si>
    <t>Pause
en %</t>
  </si>
  <si>
    <t>Vitesse
en Km/h</t>
  </si>
  <si>
    <t>Km</t>
  </si>
  <si>
    <t>Barème</t>
  </si>
  <si>
    <t>Plan de route personnalié</t>
  </si>
  <si>
    <t>Cumulé</t>
  </si>
  <si>
    <t>fleches-et-relais-de-france@audax-club-parisien.com</t>
  </si>
  <si>
    <t>Mail</t>
  </si>
  <si>
    <t>Titre</t>
  </si>
  <si>
    <t>Affiche cellule</t>
  </si>
  <si>
    <t>Ligne 1</t>
  </si>
  <si>
    <t>Ligne 2</t>
  </si>
  <si>
    <t>Ligne 3</t>
  </si>
  <si>
    <t>Ligne 4</t>
  </si>
  <si>
    <t>Ligne 5</t>
  </si>
  <si>
    <t>Ligne 6</t>
  </si>
  <si>
    <t>Ligne 7</t>
  </si>
  <si>
    <t>Ligne 8</t>
  </si>
  <si>
    <t>Ligne 9</t>
  </si>
  <si>
    <t>Ligne 10</t>
  </si>
  <si>
    <t>Ligne 11</t>
  </si>
  <si>
    <t>FF - Homologation</t>
  </si>
  <si>
    <t>Nom:</t>
  </si>
  <si>
    <t>Prénom:</t>
  </si>
  <si>
    <t>Joindre:</t>
  </si>
  <si>
    <t>Flèche:</t>
  </si>
  <si>
    <t>Date réalisation:</t>
  </si>
  <si>
    <r>
      <rPr>
        <sz val="11"/>
        <color theme="1"/>
        <rFont val="Aptos Narrow"/>
        <family val="2"/>
      </rPr>
      <t xml:space="preserve"> x </t>
    </r>
    <r>
      <rPr>
        <sz val="11"/>
        <color theme="1"/>
        <rFont val="Arial"/>
        <family val="2"/>
        <scheme val="minor"/>
      </rPr>
      <t>Carte route</t>
    </r>
  </si>
  <si>
    <r>
      <t xml:space="preserve"> </t>
    </r>
    <r>
      <rPr>
        <sz val="11"/>
        <color theme="1"/>
        <rFont val="Aptos Narrow"/>
        <family val="2"/>
      </rPr>
      <t xml:space="preserve">x </t>
    </r>
    <r>
      <rPr>
        <sz val="11"/>
        <color theme="1"/>
        <rFont val="Arial"/>
        <family val="2"/>
        <scheme val="minor"/>
      </rPr>
      <t>Lien vers trace strava</t>
    </r>
  </si>
  <si>
    <r>
      <t xml:space="preserve"> </t>
    </r>
    <r>
      <rPr>
        <sz val="11"/>
        <color theme="1"/>
        <rFont val="Aptos Narrow"/>
        <family val="2"/>
      </rPr>
      <t>x Autres justifs</t>
    </r>
  </si>
  <si>
    <t>PARIS</t>
  </si>
  <si>
    <t>Etape 1</t>
  </si>
  <si>
    <t>Etape 2</t>
  </si>
  <si>
    <t>Etape 3</t>
  </si>
  <si>
    <t>Etape 4</t>
  </si>
  <si>
    <t>Etape 5</t>
  </si>
  <si>
    <t>Etape 6</t>
  </si>
  <si>
    <t>Etape 7</t>
  </si>
  <si>
    <t>Etape 8</t>
  </si>
  <si>
    <t>MERY-sur-OISE</t>
  </si>
  <si>
    <t>CONTY</t>
  </si>
  <si>
    <t>CRECY-en-PONTHIEU</t>
  </si>
  <si>
    <t>ETAPLES</t>
  </si>
  <si>
    <t>VILLIERS LE BEL</t>
  </si>
  <si>
    <t>SURVILLIERS</t>
  </si>
  <si>
    <t>PIERREFONDS</t>
  </si>
  <si>
    <t>ROYE</t>
  </si>
  <si>
    <t>BUCQUOY</t>
  </si>
  <si>
    <t>DOUAI</t>
  </si>
  <si>
    <t>TREMBLAY EN FRANCE</t>
  </si>
  <si>
    <t>ACY EN MULTIEN</t>
  </si>
  <si>
    <t>FERE EN TARDENOIS</t>
  </si>
  <si>
    <t>CORBENY</t>
  </si>
  <si>
    <t>SIGNY L'ABBAYE</t>
  </si>
  <si>
    <t>CHARLEVILLE MEZIERES</t>
  </si>
  <si>
    <t>CHAMPS SUR MARNE</t>
  </si>
  <si>
    <t>FAREMOUTIERS</t>
  </si>
  <si>
    <t>ANGLURE</t>
  </si>
  <si>
    <t>WASSY</t>
  </si>
  <si>
    <t>VEZELISE</t>
  </si>
  <si>
    <t>COL DU DONON</t>
  </si>
  <si>
    <t>SAVIGNY SUR ORGE</t>
  </si>
  <si>
    <t>ETAMPES</t>
  </si>
  <si>
    <t>HENRICHEMONT</t>
  </si>
  <si>
    <t>COMMENTRY</t>
  </si>
  <si>
    <t>BESSE ET ST ANASTAISE</t>
  </si>
  <si>
    <t>CONQUES</t>
  </si>
  <si>
    <t>LACAUNE</t>
  </si>
  <si>
    <t>DURBAN CORBIERES</t>
  </si>
  <si>
    <t>CORMEILLE EN PARISIS</t>
  </si>
  <si>
    <t>PONTOISE</t>
  </si>
  <si>
    <t>CHAUMONT EN VEXIN</t>
  </si>
  <si>
    <t>LYONS LA FORET</t>
  </si>
  <si>
    <t>NEUFCHATEL EN BRAY</t>
  </si>
  <si>
    <t>LA ROCHE-GUYON</t>
  </si>
  <si>
    <t>ELBEUF</t>
  </si>
  <si>
    <t>CAUDEBEC-EN-CAUX</t>
  </si>
  <si>
    <t>NOISY LE ROI</t>
  </si>
  <si>
    <t>ORGERUS</t>
  </si>
  <si>
    <t>L'AIGLE</t>
  </si>
  <si>
    <t>PUTANGES LE LAC</t>
  </si>
  <si>
    <t>MORTAIN</t>
  </si>
  <si>
    <t>SEPTEUIL</t>
  </si>
  <si>
    <t>ORBEC</t>
  </si>
  <si>
    <t>THURY-HARCOURT-LE-HOM</t>
  </si>
  <si>
    <t>ISIGNY SUR MER</t>
  </si>
  <si>
    <t>BARFLEUR</t>
  </si>
  <si>
    <t>DAMPIERRE EN YVELINES</t>
  </si>
  <si>
    <t>CHARTRES</t>
  </si>
  <si>
    <t>AUTHON DU PERCHE</t>
  </si>
  <si>
    <t>MALICORNE SUR SARTHE</t>
  </si>
  <si>
    <t>MONTJEAN SUR LOIRE</t>
  </si>
  <si>
    <t>PONTAULT COMBAULT</t>
  </si>
  <si>
    <t>TOURNAN EN BRIE</t>
  </si>
  <si>
    <t>BRAY SUR SEINE</t>
  </si>
  <si>
    <t>LES RICEYS</t>
  </si>
  <si>
    <t>CHAMPLITTE</t>
  </si>
  <si>
    <t>ROUGEMONT</t>
  </si>
  <si>
    <t>JOUY EN JOSAS</t>
  </si>
  <si>
    <t>RAMBOUILLET</t>
  </si>
  <si>
    <t>CLOYES SUR LE LOIR</t>
  </si>
  <si>
    <t>LANGEAIS</t>
  </si>
  <si>
    <t>PARTENAY</t>
  </si>
  <si>
    <t>MAILLEZAIS</t>
  </si>
  <si>
    <t>BLANDY LES TOURS</t>
  </si>
  <si>
    <t>VILLENEUVE L'ARCHEVEQUE</t>
  </si>
  <si>
    <t>NOYERS</t>
  </si>
  <si>
    <t>NUITS SAINT GEORGES</t>
  </si>
  <si>
    <t>LONS LE SAUNIER</t>
  </si>
  <si>
    <t>COL DE LA FAUCILLE</t>
  </si>
  <si>
    <t>BELLEGARDE-SUR-VALSERINE</t>
  </si>
  <si>
    <t>MONTFORT L'AMAURY</t>
  </si>
  <si>
    <t>LONGNY AU PERCHE</t>
  </si>
  <si>
    <t>SAINT PIERRE DES NIDS</t>
  </si>
  <si>
    <t>FOUGERES</t>
  </si>
  <si>
    <t>CAULNES</t>
  </si>
  <si>
    <t>CALLAC</t>
  </si>
  <si>
    <t>DAOULAS</t>
  </si>
  <si>
    <t>MASSY GARE</t>
  </si>
  <si>
    <t>MEREVILLE</t>
  </si>
  <si>
    <t>BEAUGENCY</t>
  </si>
  <si>
    <t>LOCHES</t>
  </si>
  <si>
    <t>GENCAIS</t>
  </si>
  <si>
    <t>LA ROCHEFOUCAULD en ANGOUMOIS</t>
  </si>
  <si>
    <t>LIBOURNE</t>
  </si>
  <si>
    <t>VEZELAY</t>
  </si>
  <si>
    <t>AUTUN</t>
  </si>
  <si>
    <t>VONNAS</t>
  </si>
  <si>
    <t>CREMIEU</t>
  </si>
  <si>
    <t>CHAMBERY</t>
  </si>
  <si>
    <t>ST MICHEL DE MAURIENNE</t>
  </si>
  <si>
    <t>SAINT CHERON</t>
  </si>
  <si>
    <t>SOUESMES</t>
  </si>
  <si>
    <t>LA CHATRE</t>
  </si>
  <si>
    <t>ST LEONARD DE NOBLAT</t>
  </si>
  <si>
    <t>SARLAT LA CANEDA</t>
  </si>
  <si>
    <t>MOISSAC</t>
  </si>
  <si>
    <t>SAINT GAUDENS</t>
  </si>
  <si>
    <t>DOURDAN</t>
  </si>
  <si>
    <t>CHAMBORD</t>
  </si>
  <si>
    <t>SAINT GAULTIER</t>
  </si>
  <si>
    <t>AIXE SUR VIENNE</t>
  </si>
  <si>
    <t>MUSSIDAN</t>
  </si>
  <si>
    <t>LUXEY</t>
  </si>
  <si>
    <t>ITXASSOU</t>
  </si>
  <si>
    <t>LA FERTE ALAIS</t>
  </si>
  <si>
    <t>CHATILLON SUR LOIRE</t>
  </si>
  <si>
    <t>BOURBON L'ARCHAMBAULT</t>
  </si>
  <si>
    <t>BILLOM</t>
  </si>
  <si>
    <t>LE PUY EN VELAY</t>
  </si>
  <si>
    <t>VALLON PONT D'ARC</t>
  </si>
  <si>
    <t>UZES</t>
  </si>
  <si>
    <t>LA MACHINE</t>
  </si>
  <si>
    <t>ROANNE</t>
  </si>
  <si>
    <t>AOUSTE SUR SYE</t>
  </si>
  <si>
    <t>MOUSTIERS SAINTE MARIE</t>
  </si>
  <si>
    <t>KM0</t>
  </si>
  <si>
    <t>Etape 0</t>
  </si>
  <si>
    <t>KM2</t>
  </si>
  <si>
    <t>KM1</t>
  </si>
  <si>
    <t>KM3</t>
  </si>
  <si>
    <t>KM4</t>
  </si>
  <si>
    <t>KM5</t>
  </si>
  <si>
    <t>KM6</t>
  </si>
  <si>
    <t>KM7</t>
  </si>
  <si>
    <t>KM8</t>
  </si>
  <si>
    <t>Etape</t>
  </si>
  <si>
    <t>Nom</t>
  </si>
  <si>
    <t>Paris Province</t>
  </si>
  <si>
    <t>Province Paris</t>
  </si>
  <si>
    <t>Choix</t>
  </si>
  <si>
    <t>Test</t>
  </si>
  <si>
    <t>D0</t>
  </si>
  <si>
    <t>D1</t>
  </si>
  <si>
    <t>D2</t>
  </si>
  <si>
    <t>D3</t>
  </si>
  <si>
    <t>D4</t>
  </si>
  <si>
    <t>D5</t>
  </si>
  <si>
    <t>D6</t>
  </si>
  <si>
    <t>D7</t>
  </si>
  <si>
    <t>D8</t>
  </si>
  <si>
    <t>D</t>
  </si>
  <si>
    <t>Etape inv</t>
  </si>
  <si>
    <t>D+/km</t>
  </si>
  <si>
    <t>Plan de route par points de contrôle</t>
  </si>
  <si>
    <t>DAMVILLE</t>
  </si>
  <si>
    <t>VILLENEUVE SAINT GEORGES</t>
  </si>
  <si>
    <t>VALLERY</t>
  </si>
  <si>
    <t>CHATILLON COLIGNY</t>
  </si>
  <si>
    <t>ANNONAY</t>
  </si>
  <si>
    <t>VOLONNE</t>
  </si>
  <si>
    <t>v1.01</t>
  </si>
  <si>
    <t>Homologuer     ✅</t>
  </si>
  <si>
    <t>Repos</t>
  </si>
  <si>
    <t>Vitesse
spécifique</t>
  </si>
  <si>
    <t>KM option1</t>
  </si>
  <si>
    <t>D+ option1</t>
  </si>
  <si>
    <t>D+ option2</t>
  </si>
  <si>
    <t>KM option2</t>
  </si>
  <si>
    <t>Heure</t>
  </si>
  <si>
    <t>Minute</t>
  </si>
  <si>
    <t>test</t>
  </si>
  <si>
    <t>Paramètres du mail de demande d'homologation</t>
  </si>
  <si>
    <t>Délai
Or</t>
  </si>
  <si>
    <t>Délai
Argent</t>
  </si>
  <si>
    <t>Délai
Bronze</t>
  </si>
  <si>
    <t>Dates et heures de réalisation</t>
  </si>
  <si>
    <r>
      <rPr>
        <b/>
        <sz val="11"/>
        <color theme="0"/>
        <rFont val="Wingdings 2"/>
        <family val="1"/>
        <charset val="2"/>
      </rPr>
      <t>u</t>
    </r>
    <r>
      <rPr>
        <b/>
        <sz val="11"/>
        <color theme="0"/>
        <rFont val="Arial"/>
        <family val="2"/>
        <scheme val="minor"/>
      </rPr>
      <t xml:space="preserve"> Prévu</t>
    </r>
  </si>
  <si>
    <r>
      <rPr>
        <b/>
        <sz val="11"/>
        <color theme="0"/>
        <rFont val="Wingdings 2"/>
        <family val="1"/>
        <charset val="2"/>
      </rPr>
      <t>v</t>
    </r>
    <r>
      <rPr>
        <b/>
        <sz val="11"/>
        <color theme="0"/>
        <rFont val="Arial"/>
        <family val="2"/>
        <scheme val="minor"/>
      </rPr>
      <t xml:space="preserve"> Réalisé</t>
    </r>
  </si>
  <si>
    <t>¸</t>
  </si>
  <si>
    <r>
      <rPr>
        <b/>
        <sz val="20"/>
        <color rgb="FF0B50AE"/>
        <rFont val="Arial"/>
        <family val="2"/>
      </rPr>
      <t>6</t>
    </r>
    <r>
      <rPr>
        <sz val="10"/>
        <color theme="1"/>
        <rFont val="Arial"/>
        <family val="2"/>
      </rPr>
      <t xml:space="preserve"> Cette partie vous permet :
- d'accèder la page d'aide (logo avec le ?).
- de vous inscrire en ligne
- de lancer un mail de demande d'homologation
- de lancer un mail pour poser vos questions avec les responsables dès flèches.
- d'accèder au site web de l'ACP en cliquant sur le logo</t>
    </r>
  </si>
  <si>
    <r>
      <rPr>
        <b/>
        <sz val="20"/>
        <color rgb="FF0B50AE"/>
        <rFont val="Arial"/>
        <family val="2"/>
      </rPr>
      <t>7</t>
    </r>
    <r>
      <rPr>
        <sz val="10"/>
        <color theme="1"/>
        <rFont val="Arial"/>
        <family val="2"/>
      </rPr>
      <t xml:space="preserve"> Plan de route automatique, 
Les étapes correspondent aux points de contrôles obigatoires à réaliser pour la flcèhes.
Le dénivelé n'est qu'indicatif, il ne joue pas sur le temps de parcours. En revanche, cela peut aider à mieux estimer votre vitesse moyenne.
Toutes les cases en bleu sont des zones saisissables, elles passent en gris une fois saisies.
Si vous souhaitez modifier la vitesse moyene d'une étape, utilisez la colonne "Vitesse spécifique"</t>
    </r>
  </si>
  <si>
    <r>
      <rPr>
        <b/>
        <sz val="20"/>
        <color rgb="FF0B50AE"/>
        <rFont val="Arial"/>
        <family val="2"/>
      </rPr>
      <t>8</t>
    </r>
    <r>
      <rPr>
        <sz val="10"/>
        <color theme="1"/>
        <rFont val="Arial"/>
        <family val="2"/>
      </rPr>
      <t xml:space="preserve"> Plan de route personnalisé, vous pouvez indiquer toutes les étapes que vous envisagez même si ce ne sont pas des points de contrôles.
Il ne faut cependant ne pas oublier les points de contrôle </t>
    </r>
    <r>
      <rPr>
        <sz val="10"/>
        <color theme="1"/>
        <rFont val="Wingdings"/>
        <charset val="2"/>
      </rPr>
      <t>J</t>
    </r>
    <r>
      <rPr>
        <sz val="10"/>
        <color theme="1"/>
        <rFont val="Arial"/>
        <family val="2"/>
      </rPr>
      <t xml:space="preserve">
Le dénivelé n'est qu'indicatif, il ne joue pas sur le temps de parcours. En revanche, cela peut aider à mieux estimer votre vitesse moyenne.
Toutes les cases en bleu sont des zones saisissables, elles passent en gris une fois saisies.
Si vous souhaitez modifier la vitesse moyene d'une étape, utilisez la colonne "Vitesse spécifique"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</si>
</sst>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h]&quot;h&quot;mm"/>
    <numFmt numFmtId="165" formatCode="General&quot;m&quot;"/>
    <numFmt numFmtId="166" formatCode="General&quot;km&quot;"/>
    <numFmt numFmtId="167" formatCode="00&quot;h&quot;"/>
    <numFmt numFmtId="168" formatCode="00&quot;m&quot;"/>
    <numFmt numFmtId="169" formatCode="hh&quot;:&quot;mm"/>
    <numFmt numFmtId="170" formatCode="#,##0.0&quot; km/h&quot;"/>
    <numFmt numFmtId="171" formatCode="dd/mm\ hh:mm"/>
    <numFmt numFmtId="172" formatCode="#,##0.0"/>
    <numFmt numFmtId="173" formatCode="dd/mm/yy;@"/>
  </numFmts>
  <fonts count="54">
    <font>
      <sz val="11"/>
      <color theme="1"/>
      <name val="Arial"/>
      <family val="2"/>
      <scheme val="minor"/>
    </font>
    <font>
      <b/>
      <sz val="11"/>
      <color theme="1"/>
      <name val="Arial"/>
      <family val="2"/>
      <scheme val="minor"/>
    </font>
    <font>
      <b/>
      <sz val="11"/>
      <color rgb="FF111111"/>
      <name val="Arial"/>
      <family val="2"/>
    </font>
    <font>
      <sz val="11"/>
      <color rgb="FF111111"/>
      <name val="Arial"/>
      <family val="2"/>
    </font>
    <font>
      <u/>
      <sz val="11"/>
      <color theme="10"/>
      <name val="Arial"/>
      <family val="2"/>
      <scheme val="minor"/>
    </font>
    <font>
      <sz val="18"/>
      <color theme="1"/>
      <name val="Arial"/>
      <family val="2"/>
      <scheme val="minor"/>
    </font>
    <font>
      <b/>
      <sz val="11"/>
      <color theme="0"/>
      <name val="Arial"/>
      <family val="2"/>
    </font>
    <font>
      <sz val="11"/>
      <color theme="1"/>
      <name val="Arial"/>
      <family val="2"/>
      <scheme val="minor"/>
    </font>
    <font>
      <sz val="10"/>
      <color theme="7" tint="-0.499984740745262"/>
      <name val="Arial"/>
      <family val="2"/>
      <scheme val="minor"/>
    </font>
    <font>
      <b/>
      <sz val="10"/>
      <color theme="0"/>
      <name val="Arial"/>
      <family val="2"/>
      <scheme val="minor"/>
    </font>
    <font>
      <sz val="10"/>
      <color theme="0"/>
      <name val="Arial"/>
      <family val="2"/>
      <scheme val="minor"/>
    </font>
    <font>
      <i/>
      <sz val="10"/>
      <color theme="0"/>
      <name val="Arial"/>
      <family val="2"/>
      <scheme val="minor"/>
    </font>
    <font>
      <sz val="16"/>
      <color theme="1"/>
      <name val="Arial"/>
      <family val="2"/>
      <scheme val="minor"/>
    </font>
    <font>
      <sz val="11"/>
      <color theme="7" tint="-0.499984740745262"/>
      <name val="Arial"/>
      <family val="2"/>
      <scheme val="minor"/>
    </font>
    <font>
      <b/>
      <sz val="10"/>
      <color theme="7" tint="-0.499984740745262"/>
      <name val="Arial"/>
      <family val="2"/>
      <scheme val="minor"/>
    </font>
    <font>
      <sz val="10"/>
      <color theme="7" tint="-0.499984740745262"/>
      <name val="Arial"/>
      <family val="2"/>
    </font>
    <font>
      <sz val="10"/>
      <color rgb="FF0B50AE"/>
      <name val="Arial"/>
      <family val="2"/>
      <scheme val="minor"/>
    </font>
    <font>
      <i/>
      <sz val="10"/>
      <color rgb="FF0B50AE"/>
      <name val="Arial"/>
      <family val="2"/>
      <scheme val="minor"/>
    </font>
    <font>
      <b/>
      <sz val="11"/>
      <color theme="0"/>
      <name val="Arial"/>
      <family val="2"/>
      <scheme val="minor"/>
    </font>
    <font>
      <sz val="9"/>
      <color theme="1"/>
      <name val="Arial"/>
      <family val="2"/>
      <scheme val="minor"/>
    </font>
    <font>
      <sz val="11"/>
      <color theme="1"/>
      <name val="Aptos Narrow"/>
      <family val="2"/>
    </font>
    <font>
      <sz val="8"/>
      <name val="Arial"/>
      <family val="2"/>
      <scheme val="minor"/>
    </font>
    <font>
      <sz val="9"/>
      <color rgb="FF0B50AE"/>
      <name val="Arial"/>
      <family val="2"/>
      <scheme val="minor"/>
    </font>
    <font>
      <sz val="10"/>
      <color theme="1"/>
      <name val="Arial"/>
      <family val="2"/>
    </font>
    <font>
      <sz val="10"/>
      <color theme="1"/>
      <name val="Wingdings"/>
      <charset val="2"/>
    </font>
    <font>
      <sz val="11"/>
      <color theme="0"/>
      <name val="Arial"/>
      <family val="2"/>
      <scheme val="minor"/>
    </font>
    <font>
      <sz val="18"/>
      <color theme="1"/>
      <name val="Arial"/>
      <family val="2"/>
    </font>
    <font>
      <sz val="10"/>
      <color rgb="FF0B50AE"/>
      <name val="Arial"/>
      <family val="2"/>
    </font>
    <font>
      <sz val="11"/>
      <color theme="1"/>
      <name val="Arial"/>
      <family val="2"/>
    </font>
    <font>
      <b/>
      <sz val="11"/>
      <color theme="7" tint="-0.499984740745262"/>
      <name val="Arial"/>
      <family val="2"/>
    </font>
    <font>
      <sz val="11"/>
      <color theme="7" tint="-0.499984740745262"/>
      <name val="Arial"/>
      <family val="2"/>
    </font>
    <font>
      <b/>
      <sz val="10"/>
      <color theme="0"/>
      <name val="Arial"/>
      <family val="2"/>
    </font>
    <font>
      <sz val="10"/>
      <color theme="0"/>
      <name val="Arial"/>
      <family val="2"/>
    </font>
    <font>
      <b/>
      <sz val="14"/>
      <color theme="0"/>
      <name val="Arial"/>
      <family val="2"/>
    </font>
    <font>
      <b/>
      <sz val="12"/>
      <color theme="0"/>
      <name val="Arial"/>
      <family val="2"/>
    </font>
    <font>
      <sz val="8"/>
      <color theme="1"/>
      <name val="Arial"/>
      <family val="2"/>
    </font>
    <font>
      <sz val="8"/>
      <color rgb="FF0B50AE"/>
      <name val="Arial"/>
      <family val="2"/>
    </font>
    <font>
      <i/>
      <sz val="8"/>
      <color rgb="FF0B50AE"/>
      <name val="Arial"/>
      <family val="2"/>
    </font>
    <font>
      <sz val="10"/>
      <color theme="1"/>
      <name val="Arial"/>
      <family val="2"/>
      <scheme val="minor"/>
    </font>
    <font>
      <i/>
      <sz val="9"/>
      <color rgb="FF0B50AE"/>
      <name val="Arial"/>
      <family val="2"/>
      <scheme val="minor"/>
    </font>
    <font>
      <b/>
      <sz val="10"/>
      <color rgb="FF111111"/>
      <name val="Arial"/>
      <family val="2"/>
    </font>
    <font>
      <u/>
      <sz val="10"/>
      <color theme="10"/>
      <name val="Arial"/>
      <family val="2"/>
      <scheme val="minor"/>
    </font>
    <font>
      <sz val="10"/>
      <color rgb="FF111111"/>
      <name val="Arial"/>
      <family val="2"/>
    </font>
    <font>
      <i/>
      <sz val="10"/>
      <color theme="0" tint="-0.499984740745262"/>
      <name val="Arial"/>
      <family val="2"/>
    </font>
    <font>
      <i/>
      <sz val="10"/>
      <color rgb="FF111111"/>
      <name val="Arial"/>
      <family val="2"/>
    </font>
    <font>
      <b/>
      <sz val="10"/>
      <color rgb="FF0B50AE"/>
      <name val="Arial"/>
      <family val="2"/>
    </font>
    <font>
      <sz val="14"/>
      <color rgb="FF0B50AE"/>
      <name val="Webdings"/>
      <family val="1"/>
      <charset val="2"/>
    </font>
    <font>
      <sz val="11"/>
      <color theme="0"/>
      <name val="Arial"/>
      <family val="2"/>
    </font>
    <font>
      <sz val="16"/>
      <color theme="0"/>
      <name val="Arial"/>
      <family val="2"/>
      <scheme val="minor"/>
    </font>
    <font>
      <b/>
      <sz val="11"/>
      <color theme="0"/>
      <name val="Arial"/>
      <family val="1"/>
      <charset val="2"/>
      <scheme val="minor"/>
    </font>
    <font>
      <b/>
      <sz val="11"/>
      <color theme="0"/>
      <name val="Wingdings 2"/>
      <family val="1"/>
      <charset val="2"/>
    </font>
    <font>
      <sz val="16"/>
      <color theme="0"/>
      <name val="Webdings"/>
      <family val="1"/>
      <charset val="2"/>
    </font>
    <font>
      <b/>
      <sz val="14"/>
      <color theme="7" tint="-0.499984740745262"/>
      <name val="Wingdings"/>
      <charset val="2"/>
    </font>
    <font>
      <b/>
      <sz val="20"/>
      <color rgb="FF0B50AE"/>
      <name val="Arial"/>
      <family val="2"/>
    </font>
  </fonts>
  <fills count="14">
    <fill>
      <patternFill patternType="none"/>
    </fill>
    <fill>
      <patternFill patternType="gray125"/>
    </fill>
    <fill>
      <patternFill patternType="solid">
        <fgColor rgb="FFD9EDF7"/>
        <bgColor indexed="64"/>
      </patternFill>
    </fill>
    <fill>
      <patternFill patternType="solid">
        <fgColor rgb="FFFFFFFF"/>
        <bgColor indexed="64"/>
      </patternFill>
    </fill>
    <fill>
      <patternFill patternType="solid">
        <fgColor rgb="FFF9F9F9"/>
        <bgColor indexed="64"/>
      </patternFill>
    </fill>
    <fill>
      <patternFill patternType="solid">
        <fgColor theme="2"/>
        <bgColor indexed="64"/>
      </patternFill>
    </fill>
    <fill>
      <patternFill patternType="solid">
        <fgColor theme="3"/>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rgb="FF0B50AE"/>
        <bgColor indexed="64"/>
      </patternFill>
    </fill>
    <fill>
      <patternFill patternType="solid">
        <fgColor rgb="FFFA000A"/>
        <bgColor rgb="FFFA000A"/>
      </patternFill>
    </fill>
    <fill>
      <patternFill patternType="solid">
        <fgColor rgb="FFFA000A"/>
        <bgColor indexed="64"/>
      </patternFill>
    </fill>
    <fill>
      <patternFill patternType="solid">
        <fgColor rgb="FFFFC000"/>
        <bgColor indexed="64"/>
      </patternFill>
    </fill>
    <fill>
      <patternFill patternType="solid">
        <fgColor theme="3" tint="0.89999084444715716"/>
        <bgColor indexed="64"/>
      </patternFill>
    </fill>
  </fills>
  <borders count="12">
    <border>
      <left/>
      <right/>
      <top/>
      <bottom/>
      <diagonal/>
    </border>
    <border>
      <left/>
      <right/>
      <top style="medium">
        <color rgb="FFDDDDDD"/>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ck">
        <color theme="7" tint="-0.499984740745262"/>
      </left>
      <right/>
      <top/>
      <bottom/>
      <diagonal/>
    </border>
    <border>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rgb="FF0B50AE"/>
      </right>
      <top style="thin">
        <color rgb="FF0B50AE"/>
      </top>
      <bottom style="thin">
        <color rgb="FF0B50AE"/>
      </bottom>
      <diagonal/>
    </border>
    <border>
      <left style="thin">
        <color rgb="FF0B50AE"/>
      </left>
      <right style="thin">
        <color rgb="FF0B50AE"/>
      </right>
      <top style="thin">
        <color rgb="FF0B50AE"/>
      </top>
      <bottom style="thin">
        <color rgb="FF0B50AE"/>
      </bottom>
      <diagonal/>
    </border>
    <border>
      <left style="thin">
        <color theme="0"/>
      </left>
      <right style="thin">
        <color theme="0"/>
      </right>
      <top/>
      <bottom style="thin">
        <color theme="0"/>
      </bottom>
      <diagonal/>
    </border>
    <border>
      <left/>
      <right/>
      <top/>
      <bottom style="thick">
        <color theme="0"/>
      </bottom>
      <diagonal/>
    </border>
  </borders>
  <cellStyleXfs count="3">
    <xf numFmtId="0" fontId="0" fillId="0" borderId="0"/>
    <xf numFmtId="0" fontId="4" fillId="0" borderId="0" applyNumberFormat="0" applyFill="0" applyBorder="0" applyAlignment="0" applyProtection="0"/>
    <xf numFmtId="9" fontId="7" fillId="0" borderId="0" applyFont="0" applyFill="0" applyBorder="0" applyAlignment="0" applyProtection="0"/>
  </cellStyleXfs>
  <cellXfs count="146">
    <xf numFmtId="0" fontId="0" fillId="0" borderId="0" xfId="0"/>
    <xf numFmtId="0" fontId="2" fillId="2" borderId="0" xfId="0" applyFont="1" applyFill="1" applyAlignment="1">
      <alignment horizontal="left" vertical="center" wrapText="1"/>
    </xf>
    <xf numFmtId="0" fontId="3" fillId="3" borderId="1" xfId="0" applyFont="1" applyFill="1" applyBorder="1" applyAlignment="1">
      <alignment horizontal="left" vertical="top" wrapText="1"/>
    </xf>
    <xf numFmtId="0" fontId="6" fillId="6" borderId="0" xfId="0" applyFont="1" applyFill="1" applyAlignment="1">
      <alignment horizontal="left" vertical="center" wrapText="1"/>
    </xf>
    <xf numFmtId="0" fontId="1" fillId="7" borderId="0" xfId="0" applyFont="1" applyFill="1"/>
    <xf numFmtId="0" fontId="12" fillId="0" borderId="0" xfId="0" applyFont="1"/>
    <xf numFmtId="0" fontId="5" fillId="0" borderId="0" xfId="0" applyFont="1"/>
    <xf numFmtId="14" fontId="0" fillId="0" borderId="0" xfId="0" applyNumberFormat="1"/>
    <xf numFmtId="0" fontId="10" fillId="9" borderId="2" xfId="0" applyFont="1" applyFill="1" applyBorder="1" applyAlignment="1">
      <alignment horizontal="center" vertical="center"/>
    </xf>
    <xf numFmtId="169" fontId="10" fillId="9" borderId="2" xfId="0" applyNumberFormat="1" applyFont="1" applyFill="1" applyBorder="1" applyAlignment="1">
      <alignment horizontal="center" vertical="center" wrapText="1"/>
    </xf>
    <xf numFmtId="169" fontId="10" fillId="9" borderId="2" xfId="0" applyNumberFormat="1" applyFont="1" applyFill="1" applyBorder="1" applyAlignment="1">
      <alignment horizontal="center" vertical="center"/>
    </xf>
    <xf numFmtId="0" fontId="11" fillId="9" borderId="2" xfId="0" applyFont="1" applyFill="1" applyBorder="1" applyAlignment="1">
      <alignment horizontal="center" vertical="center"/>
    </xf>
    <xf numFmtId="0" fontId="13" fillId="0" borderId="0" xfId="0" applyFont="1" applyAlignment="1">
      <alignment vertical="center"/>
    </xf>
    <xf numFmtId="0" fontId="16" fillId="8" borderId="2" xfId="0" applyFont="1" applyFill="1" applyBorder="1" applyAlignment="1" applyProtection="1">
      <alignment horizontal="center" vertical="center"/>
      <protection locked="0"/>
    </xf>
    <xf numFmtId="0" fontId="17" fillId="8" borderId="2" xfId="0" applyFont="1" applyFill="1" applyBorder="1" applyAlignment="1">
      <alignment horizontal="center" vertical="center"/>
    </xf>
    <xf numFmtId="170" fontId="16" fillId="8" borderId="2" xfId="0" applyNumberFormat="1" applyFont="1" applyFill="1" applyBorder="1" applyAlignment="1" applyProtection="1">
      <alignment horizontal="center" vertical="center"/>
      <protection locked="0"/>
    </xf>
    <xf numFmtId="9" fontId="16" fillId="8" borderId="2" xfId="2" applyFont="1" applyFill="1" applyBorder="1" applyAlignment="1" applyProtection="1">
      <alignment horizontal="center" vertical="center"/>
      <protection locked="0"/>
    </xf>
    <xf numFmtId="3" fontId="16" fillId="8" borderId="2" xfId="0" applyNumberFormat="1" applyFont="1" applyFill="1" applyBorder="1" applyAlignment="1">
      <alignment horizontal="center" vertical="center"/>
    </xf>
    <xf numFmtId="171" fontId="16" fillId="8" borderId="2" xfId="0" applyNumberFormat="1" applyFont="1" applyFill="1" applyBorder="1" applyAlignment="1">
      <alignment horizontal="center" vertical="center"/>
    </xf>
    <xf numFmtId="0" fontId="19" fillId="0" borderId="0" xfId="0" applyFont="1"/>
    <xf numFmtId="0" fontId="0" fillId="0" borderId="0" xfId="0" applyAlignment="1">
      <alignment wrapText="1"/>
    </xf>
    <xf numFmtId="0" fontId="22" fillId="0" borderId="0" xfId="0" applyFont="1" applyAlignment="1">
      <alignment horizontal="right"/>
    </xf>
    <xf numFmtId="0" fontId="16" fillId="8" borderId="2" xfId="0" applyFont="1" applyFill="1" applyBorder="1" applyAlignment="1">
      <alignment horizontal="center" vertical="center"/>
    </xf>
    <xf numFmtId="172" fontId="17" fillId="8" borderId="2" xfId="0" applyNumberFormat="1" applyFont="1" applyFill="1" applyBorder="1" applyAlignment="1">
      <alignment horizontal="center" vertical="center"/>
    </xf>
    <xf numFmtId="0" fontId="18" fillId="9" borderId="6" xfId="1" applyFont="1" applyFill="1" applyBorder="1" applyAlignment="1">
      <alignment vertical="center"/>
    </xf>
    <xf numFmtId="167" fontId="8" fillId="8" borderId="0" xfId="0" applyNumberFormat="1" applyFont="1" applyFill="1" applyAlignment="1">
      <alignment horizontal="center" vertical="center"/>
    </xf>
    <xf numFmtId="168" fontId="8" fillId="8" borderId="0" xfId="0" applyNumberFormat="1" applyFont="1" applyFill="1" applyAlignment="1">
      <alignment horizontal="center" vertical="center"/>
    </xf>
    <xf numFmtId="0" fontId="23" fillId="0" borderId="0" xfId="0" applyFont="1"/>
    <xf numFmtId="0" fontId="12" fillId="10" borderId="0" xfId="0" applyFont="1" applyFill="1"/>
    <xf numFmtId="0" fontId="12" fillId="11" borderId="0" xfId="0" applyFont="1" applyFill="1"/>
    <xf numFmtId="0" fontId="0" fillId="11" borderId="0" xfId="0" applyFill="1"/>
    <xf numFmtId="0" fontId="5" fillId="11" borderId="0" xfId="0" applyFont="1" applyFill="1"/>
    <xf numFmtId="0" fontId="19" fillId="11" borderId="0" xfId="0" applyFont="1" applyFill="1"/>
    <xf numFmtId="0" fontId="26" fillId="0" borderId="0" xfId="0" applyFont="1"/>
    <xf numFmtId="0" fontId="30" fillId="0" borderId="0" xfId="0" applyFont="1" applyAlignment="1">
      <alignment vertical="center"/>
    </xf>
    <xf numFmtId="169" fontId="32" fillId="9" borderId="2" xfId="0" applyNumberFormat="1" applyFont="1" applyFill="1" applyBorder="1" applyAlignment="1">
      <alignment horizontal="center" vertical="center"/>
    </xf>
    <xf numFmtId="0" fontId="32" fillId="9" borderId="2" xfId="0" applyFont="1" applyFill="1" applyBorder="1" applyAlignment="1">
      <alignment horizontal="left" vertical="center"/>
    </xf>
    <xf numFmtId="0" fontId="27" fillId="8" borderId="2" xfId="0" applyFont="1" applyFill="1" applyBorder="1" applyAlignment="1">
      <alignment horizontal="center" vertical="center" wrapText="1"/>
    </xf>
    <xf numFmtId="0" fontId="27" fillId="8" borderId="2" xfId="0" applyFont="1" applyFill="1" applyBorder="1" applyAlignment="1">
      <alignment vertical="center" wrapText="1"/>
    </xf>
    <xf numFmtId="0" fontId="27" fillId="8" borderId="2" xfId="0" applyFont="1" applyFill="1" applyBorder="1" applyAlignment="1">
      <alignment vertical="center"/>
    </xf>
    <xf numFmtId="0" fontId="27" fillId="8" borderId="2" xfId="0" applyFont="1" applyFill="1" applyBorder="1" applyAlignment="1" applyProtection="1">
      <alignment vertical="center" wrapText="1"/>
      <protection locked="0"/>
    </xf>
    <xf numFmtId="0" fontId="27" fillId="8" borderId="2" xfId="0" applyFont="1" applyFill="1" applyBorder="1" applyAlignment="1" applyProtection="1">
      <alignment vertical="center"/>
      <protection locked="0"/>
    </xf>
    <xf numFmtId="0" fontId="33" fillId="9" borderId="0" xfId="0" applyFont="1" applyFill="1" applyAlignment="1">
      <alignment vertical="center"/>
    </xf>
    <xf numFmtId="0" fontId="34" fillId="9" borderId="0" xfId="0" applyFont="1" applyFill="1" applyAlignment="1">
      <alignment vertical="center"/>
    </xf>
    <xf numFmtId="0" fontId="29" fillId="0" borderId="0" xfId="0" applyFont="1" applyAlignment="1">
      <alignment vertical="center"/>
    </xf>
    <xf numFmtId="0" fontId="28" fillId="0" borderId="0" xfId="0" applyFont="1" applyAlignment="1">
      <alignment vertical="center"/>
    </xf>
    <xf numFmtId="0" fontId="25" fillId="9" borderId="6" xfId="1" applyFont="1" applyFill="1" applyBorder="1" applyAlignment="1">
      <alignment vertical="center"/>
    </xf>
    <xf numFmtId="0" fontId="8" fillId="8" borderId="5" xfId="0" applyFont="1" applyFill="1" applyBorder="1" applyAlignment="1">
      <alignment horizontal="left" vertical="center" indent="1"/>
    </xf>
    <xf numFmtId="173" fontId="8" fillId="8" borderId="0" xfId="0" applyNumberFormat="1" applyFont="1" applyFill="1" applyAlignment="1">
      <alignment horizontal="center" vertical="center"/>
    </xf>
    <xf numFmtId="0" fontId="35" fillId="11" borderId="0" xfId="0" applyFont="1" applyFill="1"/>
    <xf numFmtId="0" fontId="35" fillId="0" borderId="0" xfId="0" applyFont="1"/>
    <xf numFmtId="14" fontId="35" fillId="0" borderId="0" xfId="0" applyNumberFormat="1" applyFont="1"/>
    <xf numFmtId="0" fontId="38" fillId="11" borderId="0" xfId="0" applyFont="1" applyFill="1"/>
    <xf numFmtId="0" fontId="38" fillId="0" borderId="0" xfId="0" applyFont="1"/>
    <xf numFmtId="14" fontId="38" fillId="0" borderId="0" xfId="0" applyNumberFormat="1" applyFont="1"/>
    <xf numFmtId="0" fontId="15" fillId="0" borderId="0" xfId="0" applyFont="1" applyAlignment="1">
      <alignment horizontal="right" vertical="center"/>
    </xf>
    <xf numFmtId="170" fontId="16" fillId="8" borderId="2" xfId="0" applyNumberFormat="1" applyFont="1" applyFill="1" applyBorder="1" applyAlignment="1">
      <alignment horizontal="center" vertical="center"/>
    </xf>
    <xf numFmtId="170" fontId="16" fillId="8" borderId="10" xfId="0" applyNumberFormat="1" applyFont="1" applyFill="1" applyBorder="1" applyAlignment="1" applyProtection="1">
      <alignment horizontal="center" vertical="center"/>
      <protection locked="0"/>
    </xf>
    <xf numFmtId="169" fontId="39" fillId="0" borderId="9" xfId="0" applyNumberFormat="1" applyFont="1" applyBorder="1" applyAlignment="1">
      <alignment horizontal="center" vertical="center" wrapText="1"/>
    </xf>
    <xf numFmtId="0" fontId="0" fillId="12" borderId="0" xfId="0" applyFill="1"/>
    <xf numFmtId="0" fontId="0" fillId="0" borderId="7" xfId="0" applyBorder="1"/>
    <xf numFmtId="0" fontId="0" fillId="12" borderId="7" xfId="0" applyFill="1" applyBorder="1"/>
    <xf numFmtId="4" fontId="38" fillId="0" borderId="0" xfId="0" applyNumberFormat="1" applyFont="1"/>
    <xf numFmtId="0" fontId="8" fillId="0" borderId="0" xfId="0" applyFont="1" applyAlignment="1">
      <alignment horizontal="center" vertical="center"/>
    </xf>
    <xf numFmtId="164" fontId="14" fillId="0" borderId="0" xfId="0" applyNumberFormat="1" applyFont="1" applyAlignment="1">
      <alignment horizontal="center" vertical="center" wrapText="1"/>
    </xf>
    <xf numFmtId="0" fontId="14" fillId="0" borderId="0" xfId="0" applyFont="1" applyAlignment="1">
      <alignment horizontal="center" vertical="center"/>
    </xf>
    <xf numFmtId="0" fontId="0" fillId="13" borderId="0" xfId="0" applyFill="1"/>
    <xf numFmtId="0" fontId="0" fillId="13" borderId="0" xfId="0" applyFill="1" applyAlignment="1">
      <alignment wrapText="1"/>
    </xf>
    <xf numFmtId="0" fontId="40" fillId="2" borderId="0" xfId="0" applyFont="1" applyFill="1" applyAlignment="1">
      <alignment horizontal="left" vertical="center" wrapText="1"/>
    </xf>
    <xf numFmtId="0" fontId="41" fillId="3" borderId="1" xfId="1" applyFont="1" applyFill="1" applyBorder="1" applyAlignment="1">
      <alignment horizontal="left" vertical="top" wrapText="1"/>
    </xf>
    <xf numFmtId="0" fontId="42" fillId="4" borderId="1" xfId="0" applyFont="1" applyFill="1" applyBorder="1" applyAlignment="1">
      <alignment horizontal="left" vertical="top" wrapText="1"/>
    </xf>
    <xf numFmtId="0" fontId="3" fillId="3" borderId="0" xfId="0" applyFont="1" applyFill="1" applyAlignment="1">
      <alignment horizontal="left" vertical="top" wrapText="1"/>
    </xf>
    <xf numFmtId="0" fontId="6" fillId="9" borderId="0" xfId="0" applyFont="1" applyFill="1" applyAlignment="1">
      <alignment horizontal="left" vertical="center" wrapText="1"/>
    </xf>
    <xf numFmtId="0" fontId="6" fillId="9" borderId="0" xfId="0" applyFont="1" applyFill="1" applyAlignment="1">
      <alignment horizontal="center" vertical="center" wrapText="1"/>
    </xf>
    <xf numFmtId="0" fontId="38" fillId="5" borderId="0" xfId="0" applyFont="1" applyFill="1"/>
    <xf numFmtId="164" fontId="42" fillId="5" borderId="0" xfId="0" applyNumberFormat="1" applyFont="1" applyFill="1" applyAlignment="1">
      <alignment horizontal="left" vertical="top" wrapText="1"/>
    </xf>
    <xf numFmtId="0" fontId="42" fillId="5" borderId="0" xfId="0" applyFont="1" applyFill="1" applyAlignment="1">
      <alignment horizontal="left" vertical="top" wrapText="1"/>
    </xf>
    <xf numFmtId="0" fontId="43" fillId="0" borderId="0" xfId="0" applyFont="1" applyAlignment="1">
      <alignment horizontal="left" vertical="top" wrapText="1"/>
    </xf>
    <xf numFmtId="3" fontId="43" fillId="0" borderId="0" xfId="0" applyNumberFormat="1" applyFont="1" applyAlignment="1">
      <alignment horizontal="center" vertical="top" wrapText="1"/>
    </xf>
    <xf numFmtId="0" fontId="44" fillId="5" borderId="0" xfId="0" applyFont="1" applyFill="1" applyAlignment="1">
      <alignment horizontal="left" vertical="top" wrapText="1"/>
    </xf>
    <xf numFmtId="0" fontId="43" fillId="0" borderId="0" xfId="0" applyFont="1" applyAlignment="1">
      <alignment horizontal="center" vertical="top" wrapText="1"/>
    </xf>
    <xf numFmtId="0" fontId="45" fillId="0" borderId="0" xfId="0" applyFont="1" applyAlignment="1">
      <alignment horizontal="left" vertical="top" wrapText="1"/>
    </xf>
    <xf numFmtId="3" fontId="45" fillId="0" borderId="0" xfId="0" applyNumberFormat="1" applyFont="1" applyAlignment="1">
      <alignment horizontal="center" vertical="top" wrapText="1"/>
    </xf>
    <xf numFmtId="0" fontId="45" fillId="0" borderId="0" xfId="0" applyFont="1" applyAlignment="1">
      <alignment horizontal="center" vertical="top" wrapText="1"/>
    </xf>
    <xf numFmtId="0" fontId="6" fillId="9" borderId="0" xfId="0" applyFont="1" applyFill="1"/>
    <xf numFmtId="0" fontId="6" fillId="9" borderId="0" xfId="0" applyFont="1" applyFill="1" applyAlignment="1">
      <alignment vertical="center"/>
    </xf>
    <xf numFmtId="0" fontId="47" fillId="9" borderId="0" xfId="0" applyFont="1" applyFill="1"/>
    <xf numFmtId="0" fontId="47" fillId="9" borderId="0" xfId="0" applyFont="1" applyFill="1" applyAlignment="1">
      <alignment vertical="center"/>
    </xf>
    <xf numFmtId="0" fontId="32" fillId="9" borderId="0" xfId="0" applyFont="1" applyFill="1" applyAlignment="1">
      <alignment vertical="center"/>
    </xf>
    <xf numFmtId="166" fontId="47" fillId="9" borderId="0" xfId="0" applyNumberFormat="1" applyFont="1" applyFill="1" applyAlignment="1">
      <alignment horizontal="left" vertical="center"/>
    </xf>
    <xf numFmtId="165" fontId="47" fillId="9" borderId="0" xfId="0" applyNumberFormat="1" applyFont="1" applyFill="1" applyAlignment="1">
      <alignment horizontal="left" vertical="center"/>
    </xf>
    <xf numFmtId="0" fontId="12" fillId="9" borderId="0" xfId="0" applyFont="1" applyFill="1"/>
    <xf numFmtId="0" fontId="6" fillId="9" borderId="0" xfId="0" applyFont="1" applyFill="1" applyAlignment="1">
      <alignment horizontal="left" indent="1"/>
    </xf>
    <xf numFmtId="0" fontId="32" fillId="9" borderId="0" xfId="0" applyFont="1" applyFill="1" applyAlignment="1">
      <alignment horizontal="left" vertical="center" indent="1"/>
    </xf>
    <xf numFmtId="0" fontId="0" fillId="9" borderId="0" xfId="0" applyFill="1"/>
    <xf numFmtId="0" fontId="10" fillId="9" borderId="11" xfId="0" applyFont="1" applyFill="1" applyBorder="1" applyAlignment="1">
      <alignment horizontal="left" vertical="center" indent="1"/>
    </xf>
    <xf numFmtId="0" fontId="48" fillId="9" borderId="11" xfId="0" applyFont="1" applyFill="1" applyBorder="1"/>
    <xf numFmtId="0" fontId="49" fillId="9" borderId="0" xfId="0" applyFont="1" applyFill="1" applyAlignment="1">
      <alignment horizontal="left" vertical="center" indent="1"/>
    </xf>
    <xf numFmtId="0" fontId="25" fillId="9" borderId="0" xfId="0" applyFont="1" applyFill="1"/>
    <xf numFmtId="0" fontId="10" fillId="9" borderId="0" xfId="0" applyFont="1" applyFill="1" applyAlignment="1">
      <alignment horizontal="left" vertical="center" indent="1"/>
    </xf>
    <xf numFmtId="173" fontId="10" fillId="9" borderId="0" xfId="0" applyNumberFormat="1" applyFont="1" applyFill="1" applyAlignment="1" applyProtection="1">
      <alignment horizontal="center" vertical="center"/>
      <protection locked="0"/>
    </xf>
    <xf numFmtId="167" fontId="10" fillId="9" borderId="0" xfId="0" applyNumberFormat="1" applyFont="1" applyFill="1" applyAlignment="1" applyProtection="1">
      <alignment horizontal="center" vertical="center"/>
      <protection locked="0"/>
    </xf>
    <xf numFmtId="168" fontId="10" fillId="9" borderId="0" xfId="0" applyNumberFormat="1" applyFont="1" applyFill="1" applyAlignment="1" applyProtection="1">
      <alignment horizontal="center" vertical="center"/>
      <protection locked="0"/>
    </xf>
    <xf numFmtId="170" fontId="10" fillId="9" borderId="0" xfId="0" applyNumberFormat="1" applyFont="1" applyFill="1" applyAlignment="1" applyProtection="1">
      <alignment horizontal="center" vertical="center"/>
      <protection locked="0"/>
    </xf>
    <xf numFmtId="0" fontId="25" fillId="9" borderId="11" xfId="0" applyFont="1" applyFill="1" applyBorder="1"/>
    <xf numFmtId="0" fontId="25" fillId="9" borderId="11" xfId="0" applyFont="1" applyFill="1" applyBorder="1" applyAlignment="1">
      <alignment horizontal="center"/>
    </xf>
    <xf numFmtId="0" fontId="25" fillId="9" borderId="0" xfId="0" applyFont="1" applyFill="1" applyAlignment="1">
      <alignment horizontal="center" vertical="center"/>
    </xf>
    <xf numFmtId="164" fontId="18" fillId="9" borderId="0" xfId="0" applyNumberFormat="1" applyFont="1" applyFill="1" applyAlignment="1">
      <alignment horizontal="center" vertical="center" wrapText="1"/>
    </xf>
    <xf numFmtId="0" fontId="18" fillId="9" borderId="0" xfId="0" applyFont="1" applyFill="1" applyAlignment="1">
      <alignment horizontal="center" vertical="center"/>
    </xf>
    <xf numFmtId="0" fontId="51" fillId="9" borderId="0" xfId="1" applyFont="1" applyFill="1" applyBorder="1" applyAlignment="1" applyProtection="1">
      <alignment horizontal="center" vertical="center"/>
    </xf>
    <xf numFmtId="0" fontId="18" fillId="9" borderId="0" xfId="0" applyFont="1" applyFill="1"/>
    <xf numFmtId="0" fontId="9" fillId="9" borderId="0" xfId="0" applyFont="1" applyFill="1" applyAlignment="1">
      <alignment horizontal="left" indent="1"/>
    </xf>
    <xf numFmtId="164" fontId="32" fillId="9" borderId="0" xfId="0" applyNumberFormat="1" applyFont="1" applyFill="1" applyAlignment="1">
      <alignment horizontal="left" vertical="center" wrapText="1"/>
    </xf>
    <xf numFmtId="0" fontId="10" fillId="9" borderId="0" xfId="0" applyFont="1" applyFill="1" applyAlignment="1">
      <alignment horizontal="left" vertical="top" indent="1"/>
    </xf>
    <xf numFmtId="164" fontId="32" fillId="9" borderId="0" xfId="0" applyNumberFormat="1" applyFont="1" applyFill="1" applyAlignment="1">
      <alignment horizontal="left" vertical="top" wrapText="1"/>
    </xf>
    <xf numFmtId="0" fontId="9" fillId="9" borderId="11" xfId="0" applyFont="1" applyFill="1" applyBorder="1" applyAlignment="1">
      <alignment horizontal="left" vertical="center" indent="1"/>
    </xf>
    <xf numFmtId="0" fontId="10" fillId="9" borderId="0" xfId="0" applyFont="1" applyFill="1"/>
    <xf numFmtId="0" fontId="38" fillId="9" borderId="0" xfId="0" applyFont="1" applyFill="1"/>
    <xf numFmtId="0" fontId="33" fillId="9" borderId="8" xfId="0" applyFont="1" applyFill="1" applyBorder="1" applyAlignment="1" applyProtection="1">
      <alignment vertical="center"/>
      <protection locked="0"/>
    </xf>
    <xf numFmtId="0" fontId="47" fillId="9" borderId="0" xfId="0" applyFont="1" applyFill="1" applyAlignment="1" applyProtection="1">
      <alignment horizontal="left" vertical="center"/>
      <protection locked="0"/>
    </xf>
    <xf numFmtId="0" fontId="0" fillId="11" borderId="0" xfId="0" applyFill="1" applyAlignment="1">
      <alignment vertical="center"/>
    </xf>
    <xf numFmtId="0" fontId="0" fillId="0" borderId="0" xfId="0" applyAlignment="1">
      <alignment vertical="center"/>
    </xf>
    <xf numFmtId="0" fontId="38" fillId="0" borderId="0" xfId="0" applyFont="1" applyAlignment="1">
      <alignment vertical="center"/>
    </xf>
    <xf numFmtId="0" fontId="52" fillId="0" borderId="0" xfId="0" applyFont="1" applyAlignment="1">
      <alignment horizontal="center" vertical="center"/>
    </xf>
    <xf numFmtId="0" fontId="35" fillId="9" borderId="0" xfId="0" applyFont="1" applyFill="1"/>
    <xf numFmtId="0" fontId="36" fillId="9" borderId="0" xfId="0" applyFont="1" applyFill="1" applyAlignment="1">
      <alignment horizontal="center" vertical="center" wrapText="1"/>
    </xf>
    <xf numFmtId="0" fontId="36" fillId="9" borderId="0" xfId="0" applyFont="1" applyFill="1" applyAlignment="1">
      <alignment vertical="center"/>
    </xf>
    <xf numFmtId="0" fontId="36" fillId="9" borderId="0" xfId="0" applyFont="1" applyFill="1" applyAlignment="1">
      <alignment horizontal="center" vertical="center"/>
    </xf>
    <xf numFmtId="0" fontId="37" fillId="9" borderId="0" xfId="0" applyFont="1" applyFill="1" applyAlignment="1">
      <alignment horizontal="center" vertical="center"/>
    </xf>
    <xf numFmtId="172" fontId="37" fillId="9" borderId="0" xfId="0" applyNumberFormat="1" applyFont="1" applyFill="1" applyAlignment="1">
      <alignment horizontal="center" vertical="center"/>
    </xf>
    <xf numFmtId="170" fontId="36" fillId="9" borderId="0" xfId="0" applyNumberFormat="1" applyFont="1" applyFill="1" applyAlignment="1">
      <alignment horizontal="center" vertical="center"/>
    </xf>
    <xf numFmtId="9" fontId="36" fillId="9" borderId="0" xfId="2" applyFont="1" applyFill="1" applyBorder="1" applyAlignment="1" applyProtection="1">
      <alignment horizontal="center" vertical="center"/>
    </xf>
    <xf numFmtId="3" fontId="36" fillId="9" borderId="0" xfId="0" applyNumberFormat="1" applyFont="1" applyFill="1" applyAlignment="1">
      <alignment horizontal="center" vertical="center"/>
    </xf>
    <xf numFmtId="171" fontId="36" fillId="9" borderId="0" xfId="0" applyNumberFormat="1" applyFont="1" applyFill="1" applyAlignment="1">
      <alignment horizontal="center" vertical="center"/>
    </xf>
    <xf numFmtId="14" fontId="35" fillId="9" borderId="0" xfId="0" applyNumberFormat="1" applyFont="1" applyFill="1"/>
    <xf numFmtId="0" fontId="23" fillId="0" borderId="0" xfId="0" applyFont="1" applyAlignment="1">
      <alignment vertical="top" wrapText="1"/>
    </xf>
    <xf numFmtId="0" fontId="10" fillId="9" borderId="3"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4" xfId="0" applyFont="1" applyFill="1" applyBorder="1" applyAlignment="1">
      <alignment horizontal="center" vertical="center"/>
    </xf>
    <xf numFmtId="0" fontId="9" fillId="9" borderId="3" xfId="0" applyFont="1" applyFill="1" applyBorder="1" applyAlignment="1">
      <alignment horizontal="center" vertical="center"/>
    </xf>
    <xf numFmtId="0" fontId="9" fillId="9" borderId="6" xfId="0" applyFont="1" applyFill="1" applyBorder="1" applyAlignment="1">
      <alignment horizontal="center" vertical="center"/>
    </xf>
    <xf numFmtId="0" fontId="9" fillId="9" borderId="4" xfId="0" applyFont="1" applyFill="1" applyBorder="1" applyAlignment="1">
      <alignment horizontal="center" vertical="center"/>
    </xf>
    <xf numFmtId="0" fontId="31" fillId="9" borderId="2" xfId="0" applyFont="1" applyFill="1" applyBorder="1" applyAlignment="1">
      <alignment horizontal="center" vertical="center"/>
    </xf>
    <xf numFmtId="0" fontId="10" fillId="9" borderId="2" xfId="0" applyFont="1" applyFill="1" applyBorder="1" applyAlignment="1">
      <alignment horizontal="center" vertical="center"/>
    </xf>
    <xf numFmtId="0" fontId="46" fillId="0" borderId="0" xfId="0" applyFont="1" applyAlignment="1">
      <alignment horizontal="center" vertical="center"/>
    </xf>
    <xf numFmtId="0" fontId="23" fillId="0" borderId="0" xfId="0" applyFont="1" applyAlignment="1">
      <alignment horizontal="left" vertical="center" wrapText="1"/>
    </xf>
  </cellXfs>
  <cellStyles count="3">
    <cellStyle name="Lien hypertexte" xfId="1" builtinId="8"/>
    <cellStyle name="Normal" xfId="0" builtinId="0"/>
    <cellStyle name="Pourcentage" xfId="2" builtinId="5"/>
  </cellStyles>
  <dxfs count="49">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patternType="lightUp">
          <fgColor theme="0" tint="-0.14996795556505021"/>
          <bgColor theme="0" tint="-4.9989318521683403E-2"/>
        </patternFill>
      </fill>
      <border>
        <vertical/>
        <horizontal/>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bgColor theme="0"/>
        </patternFill>
      </fill>
      <border>
        <left/>
        <right/>
        <top/>
        <bottom/>
      </border>
    </dxf>
    <dxf>
      <numFmt numFmtId="170" formatCode="#,##0.0&quot; km/h&quot;"/>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bgColor theme="0"/>
        </patternFill>
      </fill>
      <border>
        <left/>
        <right/>
        <top/>
        <bottom/>
      </border>
    </dxf>
    <dxf>
      <fill>
        <patternFill>
          <bgColor theme="0"/>
        </patternFill>
      </fill>
      <border>
        <left/>
        <right/>
        <top/>
        <bottom/>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bgColor theme="0"/>
        </patternFill>
      </fill>
      <border>
        <left/>
        <right/>
        <top/>
        <bottom/>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vertical/>
        <horizontal/>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vertical/>
        <horizontal/>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numFmt numFmtId="0" formatCode="General"/>
      <fill>
        <patternFill patternType="solid">
          <fgColor auto="1"/>
          <bgColor rgb="FFB6BCE9"/>
        </patternFill>
      </fill>
      <border>
        <left style="hair">
          <color theme="9" tint="0.79998168889431442"/>
        </left>
        <right style="hair">
          <color theme="9" tint="0.79998168889431442"/>
        </right>
        <top style="hair">
          <color theme="9" tint="0.79998168889431442"/>
        </top>
        <bottom style="hair">
          <color theme="9" tint="0.79998168889431442"/>
        </bottom>
        <vertical/>
        <horizontal/>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border>
    </dxf>
    <dxf>
      <fill>
        <patternFill>
          <bgColor rgb="FFB6BCE9"/>
        </patternFill>
      </fill>
      <border>
        <left style="thin">
          <color theme="9" tint="0.79998168889431442"/>
        </left>
        <right style="thin">
          <color theme="9" tint="0.79998168889431442"/>
        </right>
        <top style="thin">
          <color theme="9" tint="0.79998168889431442"/>
        </top>
        <bottom style="thin">
          <color theme="9" tint="0.79998168889431442"/>
        </bottom>
      </border>
    </dxf>
    <dxf>
      <fill>
        <patternFill>
          <bgColor theme="0"/>
        </patternFill>
      </fill>
      <border>
        <left/>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ont>
        <b/>
        <i val="0"/>
        <strike val="0"/>
        <condense val="0"/>
        <extend val="0"/>
        <outline val="0"/>
        <shadow val="0"/>
        <u val="none"/>
        <vertAlign val="baseline"/>
        <sz val="11"/>
        <color rgb="FF111111"/>
        <name val="Arial"/>
        <family val="2"/>
        <scheme val="none"/>
      </font>
      <fill>
        <patternFill patternType="none">
          <fgColor indexed="64"/>
          <bgColor indexed="65"/>
        </patternFill>
      </fill>
      <alignment horizontal="left" vertical="top" textRotation="0" wrapText="1" indent="0" justifyLastLine="0" shrinkToFit="0" readingOrder="0"/>
    </dxf>
    <dxf>
      <font>
        <b/>
        <i val="0"/>
        <strike val="0"/>
        <condense val="0"/>
        <extend val="0"/>
        <outline val="0"/>
        <shadow val="0"/>
        <u val="none"/>
        <vertAlign val="baseline"/>
        <sz val="11"/>
        <color rgb="FF111111"/>
        <name val="Arial"/>
        <family val="2"/>
        <scheme val="none"/>
      </font>
      <fill>
        <patternFill patternType="none">
          <fgColor indexed="64"/>
          <bgColor indexed="65"/>
        </patternFill>
      </fill>
      <alignment horizontal="left" vertical="top" textRotation="0" wrapText="1" indent="0" justifyLastLine="0" shrinkToFit="0" readingOrder="0"/>
    </dxf>
    <dxf>
      <fill>
        <patternFill patternType="none">
          <fgColor indexed="64"/>
          <bgColor indexed="65"/>
        </patternFill>
      </fill>
    </dxf>
    <dxf>
      <fill>
        <patternFill patternType="none">
          <fgColor indexed="64"/>
          <bgColor indexed="65"/>
        </patternFill>
      </fill>
    </dxf>
    <dxf>
      <numFmt numFmtId="0" formatCode="General"/>
    </dxf>
  </dxfs>
  <tableStyles count="0" defaultTableStyle="TableStyleMedium2" defaultPivotStyle="PivotStyleLight16"/>
  <colors>
    <mruColors>
      <color rgb="FF0B50AE"/>
      <color rgb="FFB6BCE9"/>
      <color rgb="FFFFFFFF"/>
      <color rgb="FFFA000A"/>
      <color rgb="FFECF9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Aide!A1"/><Relationship Id="rId2" Type="http://schemas.openxmlformats.org/officeDocument/2006/relationships/image" Target="../media/image1.png"/><Relationship Id="rId1" Type="http://schemas.openxmlformats.org/officeDocument/2006/relationships/hyperlink" Target="https://www.audax-club-parisien.com/" TargetMode="External"/><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hyperlink" Target="#Calculateur!A1"/></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Calculateur!A1"/></Relationships>
</file>

<file path=xl/drawings/drawing1.xml><?xml version="1.0" encoding="utf-8"?>
<xdr:wsDr xmlns:xdr="http://schemas.openxmlformats.org/drawingml/2006/spreadsheetDrawing" xmlns:a="http://schemas.openxmlformats.org/drawingml/2006/main">
  <xdr:twoCellAnchor editAs="oneCell">
    <xdr:from>
      <xdr:col>14</xdr:col>
      <xdr:colOff>0</xdr:colOff>
      <xdr:row>1</xdr:row>
      <xdr:rowOff>117030</xdr:rowOff>
    </xdr:from>
    <xdr:to>
      <xdr:col>15</xdr:col>
      <xdr:colOff>412750</xdr:colOff>
      <xdr:row>4</xdr:row>
      <xdr:rowOff>180530</xdr:rowOff>
    </xdr:to>
    <xdr:pic>
      <xdr:nvPicPr>
        <xdr:cNvPr id="5" name="Image 4">
          <a:hlinkClick xmlns:r="http://schemas.openxmlformats.org/officeDocument/2006/relationships" r:id="rId1"/>
          <a:extLst>
            <a:ext uri="{FF2B5EF4-FFF2-40B4-BE49-F238E27FC236}">
              <a16:creationId xmlns:a16="http://schemas.microsoft.com/office/drawing/2014/main" id="{20051B04-74A9-CEB7-F99A-AA627B24DFD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8699500" y="204343"/>
          <a:ext cx="1190625" cy="6746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49209</xdr:colOff>
      <xdr:row>2</xdr:row>
      <xdr:rowOff>0</xdr:rowOff>
    </xdr:from>
    <xdr:to>
      <xdr:col>5</xdr:col>
      <xdr:colOff>543684</xdr:colOff>
      <xdr:row>4</xdr:row>
      <xdr:rowOff>71688</xdr:rowOff>
    </xdr:to>
    <xdr:sp macro="" textlink="">
      <xdr:nvSpPr>
        <xdr:cNvPr id="10" name="Rectangle 9">
          <a:extLst>
            <a:ext uri="{FF2B5EF4-FFF2-40B4-BE49-F238E27FC236}">
              <a16:creationId xmlns:a16="http://schemas.microsoft.com/office/drawing/2014/main" id="{DAB2ACC8-B5CE-E9B9-3E5F-110DB986E8C9}"/>
            </a:ext>
            <a:ext uri="{C183D7F6-B498-43B3-948B-1728B52AA6E4}">
              <adec:decorative xmlns:adec="http://schemas.microsoft.com/office/drawing/2017/decorative" val="0"/>
            </a:ext>
          </a:extLst>
        </xdr:cNvPr>
        <xdr:cNvSpPr/>
      </xdr:nvSpPr>
      <xdr:spPr>
        <a:xfrm>
          <a:off x="3081334" y="230188"/>
          <a:ext cx="494475" cy="540000"/>
        </a:xfrm>
        <a:prstGeom prst="rect">
          <a:avLst/>
        </a:prstGeom>
        <a:noFill/>
        <a:ln w="3175">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lang="fr-FR" sz="900" b="0">
              <a:solidFill>
                <a:schemeClr val="bg1"/>
              </a:solidFill>
            </a:rPr>
            <a:t>trace</a:t>
          </a:r>
        </a:p>
        <a:p>
          <a:pPr algn="ctr"/>
          <a:r>
            <a:rPr lang="fr-FR" sz="900" b="0">
              <a:solidFill>
                <a:schemeClr val="bg1"/>
              </a:solidFill>
            </a:rPr>
            <a:t>GPS</a:t>
          </a:r>
        </a:p>
      </xdr:txBody>
    </xdr:sp>
    <xdr:clientData/>
  </xdr:twoCellAnchor>
  <xdr:twoCellAnchor>
    <xdr:from>
      <xdr:col>6</xdr:col>
      <xdr:colOff>46035</xdr:colOff>
      <xdr:row>2</xdr:row>
      <xdr:rowOff>1</xdr:rowOff>
    </xdr:from>
    <xdr:to>
      <xdr:col>6</xdr:col>
      <xdr:colOff>540510</xdr:colOff>
      <xdr:row>4</xdr:row>
      <xdr:rowOff>71689</xdr:rowOff>
    </xdr:to>
    <xdr:sp macro="" textlink="">
      <xdr:nvSpPr>
        <xdr:cNvPr id="11" name="Rectangle 10">
          <a:extLst>
            <a:ext uri="{FF2B5EF4-FFF2-40B4-BE49-F238E27FC236}">
              <a16:creationId xmlns:a16="http://schemas.microsoft.com/office/drawing/2014/main" id="{00AABF31-BA12-4C63-89AA-CFBE20C567A8}"/>
            </a:ext>
          </a:extLst>
        </xdr:cNvPr>
        <xdr:cNvSpPr/>
      </xdr:nvSpPr>
      <xdr:spPr>
        <a:xfrm>
          <a:off x="3657598" y="230189"/>
          <a:ext cx="494475" cy="540000"/>
        </a:xfrm>
        <a:prstGeom prst="rect">
          <a:avLst/>
        </a:prstGeom>
        <a:noFill/>
        <a:ln w="3175">
          <a:solidFill>
            <a:schemeClr val="bg1">
              <a:lumMod val="8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b"/>
        <a:lstStyle/>
        <a:p>
          <a:pPr algn="ctr"/>
          <a:r>
            <a:rPr lang="fr-FR" sz="900" b="0">
              <a:solidFill>
                <a:schemeClr val="bg1"/>
              </a:solidFill>
            </a:rPr>
            <a:t>feuille de route</a:t>
          </a:r>
        </a:p>
      </xdr:txBody>
    </xdr:sp>
    <xdr:clientData/>
  </xdr:twoCellAnchor>
  <xdr:twoCellAnchor editAs="oneCell">
    <xdr:from>
      <xdr:col>17</xdr:col>
      <xdr:colOff>69828</xdr:colOff>
      <xdr:row>6</xdr:row>
      <xdr:rowOff>7936</xdr:rowOff>
    </xdr:from>
    <xdr:to>
      <xdr:col>18</xdr:col>
      <xdr:colOff>1562</xdr:colOff>
      <xdr:row>8</xdr:row>
      <xdr:rowOff>174625</xdr:rowOff>
    </xdr:to>
    <xdr:pic>
      <xdr:nvPicPr>
        <xdr:cNvPr id="3" name="Graphique 2" descr="Questions avec un remplissage uni">
          <a:hlinkClick xmlns:r="http://schemas.openxmlformats.org/officeDocument/2006/relationships" r:id="rId3" tooltip="Notice"/>
          <a:extLst>
            <a:ext uri="{FF2B5EF4-FFF2-40B4-BE49-F238E27FC236}">
              <a16:creationId xmlns:a16="http://schemas.microsoft.com/office/drawing/2014/main" id="{0FBB8DAF-BEA5-9060-15D5-08BDD56989E0}"/>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102828" y="1047749"/>
          <a:ext cx="578073" cy="5556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571500</xdr:colOff>
      <xdr:row>0</xdr:row>
      <xdr:rowOff>123825</xdr:rowOff>
    </xdr:from>
    <xdr:to>
      <xdr:col>19</xdr:col>
      <xdr:colOff>571501</xdr:colOff>
      <xdr:row>2</xdr:row>
      <xdr:rowOff>228600</xdr:rowOff>
    </xdr:to>
    <xdr:sp macro="" textlink="">
      <xdr:nvSpPr>
        <xdr:cNvPr id="2" name="Organigramme : Délai 1">
          <a:hlinkClick xmlns:r="http://schemas.openxmlformats.org/officeDocument/2006/relationships" r:id="rId1" tooltip="Retour au formulaire"/>
          <a:extLst>
            <a:ext uri="{FF2B5EF4-FFF2-40B4-BE49-F238E27FC236}">
              <a16:creationId xmlns:a16="http://schemas.microsoft.com/office/drawing/2014/main" id="{2149E65B-5D5D-465C-926E-F03E027EE310}"/>
            </a:ext>
          </a:extLst>
        </xdr:cNvPr>
        <xdr:cNvSpPr/>
      </xdr:nvSpPr>
      <xdr:spPr>
        <a:xfrm flipH="1">
          <a:off x="28184475" y="123825"/>
          <a:ext cx="876301" cy="752475"/>
        </a:xfrm>
        <a:prstGeom prst="flowChartDelay">
          <a:avLst/>
        </a:prstGeom>
        <a:solidFill>
          <a:srgbClr val="FA000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rIns="0" rtlCol="0" anchor="ctr" anchorCtr="0"/>
        <a:lstStyle/>
        <a:p>
          <a:pPr algn="l"/>
          <a:r>
            <a:rPr lang="fr-FR" sz="1000"/>
            <a:t>Calculateur</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76199</xdr:colOff>
      <xdr:row>0</xdr:row>
      <xdr:rowOff>47625</xdr:rowOff>
    </xdr:from>
    <xdr:to>
      <xdr:col>2</xdr:col>
      <xdr:colOff>257175</xdr:colOff>
      <xdr:row>2</xdr:row>
      <xdr:rowOff>57150</xdr:rowOff>
    </xdr:to>
    <xdr:sp macro="" textlink="">
      <xdr:nvSpPr>
        <xdr:cNvPr id="2" name="Organigramme : Délai 1">
          <a:hlinkClick xmlns:r="http://schemas.openxmlformats.org/officeDocument/2006/relationships" r:id="rId1" tooltip="Retour au formulaire"/>
          <a:extLst>
            <a:ext uri="{FF2B5EF4-FFF2-40B4-BE49-F238E27FC236}">
              <a16:creationId xmlns:a16="http://schemas.microsoft.com/office/drawing/2014/main" id="{3717543F-3FA9-6ED2-A406-A658DCF8E2CC}"/>
            </a:ext>
          </a:extLst>
        </xdr:cNvPr>
        <xdr:cNvSpPr/>
      </xdr:nvSpPr>
      <xdr:spPr>
        <a:xfrm flipH="1">
          <a:off x="76199" y="47625"/>
          <a:ext cx="876301" cy="971550"/>
        </a:xfrm>
        <a:prstGeom prst="flowChartDelay">
          <a:avLst/>
        </a:prstGeom>
        <a:solidFill>
          <a:srgbClr val="FA000A"/>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rIns="0" rtlCol="0" anchor="ctr" anchorCtr="0"/>
        <a:lstStyle/>
        <a:p>
          <a:pPr algn="l"/>
          <a:r>
            <a:rPr lang="fr-FR" sz="1000"/>
            <a:t>Calculateur</a:t>
          </a:r>
        </a:p>
      </xdr:txBody>
    </xdr:sp>
    <xdr:clientData/>
  </xdr:twoCellAnchor>
  <xdr:twoCellAnchor editAs="oneCell">
    <xdr:from>
      <xdr:col>2</xdr:col>
      <xdr:colOff>386913</xdr:colOff>
      <xdr:row>3</xdr:row>
      <xdr:rowOff>47626</xdr:rowOff>
    </xdr:from>
    <xdr:to>
      <xdr:col>15</xdr:col>
      <xdr:colOff>28575</xdr:colOff>
      <xdr:row>48</xdr:row>
      <xdr:rowOff>19051</xdr:rowOff>
    </xdr:to>
    <xdr:pic>
      <xdr:nvPicPr>
        <xdr:cNvPr id="4" name="Image 3">
          <a:extLst>
            <a:ext uri="{FF2B5EF4-FFF2-40B4-BE49-F238E27FC236}">
              <a16:creationId xmlns:a16="http://schemas.microsoft.com/office/drawing/2014/main" id="{0EA5C638-D93B-6F52-EC8C-22EA26A916CF}"/>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1" r="1278" b="38587"/>
        <a:stretch>
          <a:fillRect/>
        </a:stretch>
      </xdr:blipFill>
      <xdr:spPr>
        <a:xfrm>
          <a:off x="1177488" y="1190626"/>
          <a:ext cx="11033562" cy="9067800"/>
        </a:xfrm>
        <a:prstGeom prst="rect">
          <a:avLst/>
        </a:prstGeom>
      </xdr:spPr>
    </xdr:pic>
    <xdr:clientData/>
  </xdr:twoCellAnchor>
  <xdr:twoCellAnchor>
    <xdr:from>
      <xdr:col>2</xdr:col>
      <xdr:colOff>371474</xdr:colOff>
      <xdr:row>0</xdr:row>
      <xdr:rowOff>0</xdr:rowOff>
    </xdr:from>
    <xdr:to>
      <xdr:col>5</xdr:col>
      <xdr:colOff>457199</xdr:colOff>
      <xdr:row>10</xdr:row>
      <xdr:rowOff>19050</xdr:rowOff>
    </xdr:to>
    <xdr:sp macro="" textlink="">
      <xdr:nvSpPr>
        <xdr:cNvPr id="5" name="Rectangle 4">
          <a:extLst>
            <a:ext uri="{FF2B5EF4-FFF2-40B4-BE49-F238E27FC236}">
              <a16:creationId xmlns:a16="http://schemas.microsoft.com/office/drawing/2014/main" id="{39652654-DB6C-CBA7-0D2D-0868BD935975}"/>
            </a:ext>
          </a:extLst>
        </xdr:cNvPr>
        <xdr:cNvSpPr/>
      </xdr:nvSpPr>
      <xdr:spPr>
        <a:xfrm>
          <a:off x="1162049" y="0"/>
          <a:ext cx="2714625" cy="2428875"/>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2000" b="1">
              <a:solidFill>
                <a:srgbClr val="0B50AE"/>
              </a:solidFill>
              <a:latin typeface="Arial" panose="020B0604020202020204" pitchFamily="34" charset="0"/>
              <a:cs typeface="Arial" panose="020B0604020202020204" pitchFamily="34" charset="0"/>
            </a:rPr>
            <a:t>1</a:t>
          </a:r>
          <a:r>
            <a:rPr lang="fr-FR" sz="1200" b="1" baseline="0">
              <a:solidFill>
                <a:sysClr val="windowText" lastClr="000000"/>
              </a:solidFill>
              <a:latin typeface="Arial" panose="020B0604020202020204" pitchFamily="34" charset="0"/>
              <a:cs typeface="Arial" panose="020B0604020202020204" pitchFamily="34" charset="0"/>
            </a:rPr>
            <a:t> </a:t>
          </a:r>
          <a:r>
            <a:rPr lang="fr-FR" sz="1200" b="0">
              <a:solidFill>
                <a:sysClr val="windowText" lastClr="000000"/>
              </a:solidFill>
              <a:latin typeface="Arial" panose="020B0604020202020204" pitchFamily="34" charset="0"/>
              <a:cs typeface="Arial" panose="020B0604020202020204" pitchFamily="34" charset="0"/>
            </a:rPr>
            <a:t>Indiquer le nom de la</a:t>
          </a:r>
          <a:r>
            <a:rPr lang="fr-FR" sz="1200" b="0" baseline="0">
              <a:solidFill>
                <a:sysClr val="windowText" lastClr="000000"/>
              </a:solidFill>
              <a:latin typeface="Arial" panose="020B0604020202020204" pitchFamily="34" charset="0"/>
              <a:cs typeface="Arial" panose="020B0604020202020204" pitchFamily="34" charset="0"/>
            </a:rPr>
            <a:t> flèche</a:t>
          </a:r>
        </a:p>
        <a:p>
          <a:pPr algn="l"/>
          <a:r>
            <a:rPr lang="fr-FR" sz="2000" b="1" baseline="0">
              <a:solidFill>
                <a:srgbClr val="0B50AE"/>
              </a:solidFill>
              <a:latin typeface="Arial" panose="020B0604020202020204" pitchFamily="34" charset="0"/>
              <a:cs typeface="Arial" panose="020B0604020202020204" pitchFamily="34" charset="0"/>
            </a:rPr>
            <a:t>2</a:t>
          </a:r>
          <a:r>
            <a:rPr lang="fr-FR" sz="1200" b="0" baseline="0">
              <a:solidFill>
                <a:sysClr val="windowText" lastClr="000000"/>
              </a:solidFill>
              <a:latin typeface="Arial" panose="020B0604020202020204" pitchFamily="34" charset="0"/>
              <a:cs typeface="Arial" panose="020B0604020202020204" pitchFamily="34" charset="0"/>
            </a:rPr>
            <a:t> le lieu de départ et celui d'arrivée</a:t>
          </a:r>
          <a:endParaRPr lang="fr-FR" sz="1200" b="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5</xdr:col>
      <xdr:colOff>485775</xdr:colOff>
      <xdr:row>0</xdr:row>
      <xdr:rowOff>0</xdr:rowOff>
    </xdr:from>
    <xdr:to>
      <xdr:col>7</xdr:col>
      <xdr:colOff>295275</xdr:colOff>
      <xdr:row>8</xdr:row>
      <xdr:rowOff>57150</xdr:rowOff>
    </xdr:to>
    <xdr:sp macro="" textlink="">
      <xdr:nvSpPr>
        <xdr:cNvPr id="6" name="Rectangle 5">
          <a:extLst>
            <a:ext uri="{FF2B5EF4-FFF2-40B4-BE49-F238E27FC236}">
              <a16:creationId xmlns:a16="http://schemas.microsoft.com/office/drawing/2014/main" id="{26179F2C-114F-478F-8C77-B76BBF0D5D9C}"/>
            </a:ext>
          </a:extLst>
        </xdr:cNvPr>
        <xdr:cNvSpPr/>
      </xdr:nvSpPr>
      <xdr:spPr>
        <a:xfrm>
          <a:off x="3905250" y="0"/>
          <a:ext cx="1562100" cy="2105025"/>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fr-FR" sz="2000" b="1">
              <a:solidFill>
                <a:srgbClr val="0B50AE"/>
              </a:solidFill>
              <a:latin typeface="Arial" panose="020B0604020202020204" pitchFamily="34" charset="0"/>
              <a:ea typeface="+mn-ea"/>
              <a:cs typeface="Arial" panose="020B0604020202020204" pitchFamily="34" charset="0"/>
            </a:rPr>
            <a:t>3</a:t>
          </a:r>
          <a:r>
            <a:rPr lang="fr-FR" sz="900" b="0">
              <a:solidFill>
                <a:sysClr val="windowText" lastClr="000000"/>
              </a:solidFill>
              <a:latin typeface="Arial" panose="020B0604020202020204" pitchFamily="34" charset="0"/>
              <a:ea typeface="+mn-ea"/>
              <a:cs typeface="Arial" panose="020B0604020202020204" pitchFamily="34" charset="0"/>
            </a:rPr>
            <a:t> Lien vers les traces GPS et la feuille de route.</a:t>
          </a:r>
        </a:p>
        <a:p>
          <a:pPr marL="0" indent="0" algn="l"/>
          <a:r>
            <a:rPr lang="fr-FR" sz="900" b="0">
              <a:solidFill>
                <a:sysClr val="windowText" lastClr="000000"/>
              </a:solidFill>
              <a:latin typeface="Arial" panose="020B0604020202020204" pitchFamily="34" charset="0"/>
              <a:ea typeface="+mn-ea"/>
              <a:cs typeface="Arial" panose="020B0604020202020204" pitchFamily="34" charset="0"/>
            </a:rPr>
            <a:t>Fonctionne si vous êtes connecté à internet.</a:t>
          </a:r>
        </a:p>
      </xdr:txBody>
    </xdr:sp>
    <xdr:clientData/>
  </xdr:twoCellAnchor>
  <xdr:twoCellAnchor>
    <xdr:from>
      <xdr:col>7</xdr:col>
      <xdr:colOff>323850</xdr:colOff>
      <xdr:row>0</xdr:row>
      <xdr:rowOff>0</xdr:rowOff>
    </xdr:from>
    <xdr:to>
      <xdr:col>12</xdr:col>
      <xdr:colOff>238125</xdr:colOff>
      <xdr:row>13</xdr:row>
      <xdr:rowOff>19050</xdr:rowOff>
    </xdr:to>
    <xdr:sp macro="" textlink="">
      <xdr:nvSpPr>
        <xdr:cNvPr id="8" name="Rectangle 7">
          <a:extLst>
            <a:ext uri="{FF2B5EF4-FFF2-40B4-BE49-F238E27FC236}">
              <a16:creationId xmlns:a16="http://schemas.microsoft.com/office/drawing/2014/main" id="{0EC3E0E6-0796-43D1-9726-253A81E7D2E6}"/>
            </a:ext>
          </a:extLst>
        </xdr:cNvPr>
        <xdr:cNvSpPr/>
      </xdr:nvSpPr>
      <xdr:spPr>
        <a:xfrm>
          <a:off x="5495925" y="0"/>
          <a:ext cx="4295775" cy="2971800"/>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lang="fr-FR" sz="2000" b="1">
              <a:solidFill>
                <a:srgbClr val="0B50AE"/>
              </a:solidFill>
              <a:latin typeface="Arial" panose="020B0604020202020204" pitchFamily="34" charset="0"/>
              <a:ea typeface="+mn-ea"/>
              <a:cs typeface="Arial" panose="020B0604020202020204" pitchFamily="34" charset="0"/>
            </a:rPr>
            <a:t>4</a:t>
          </a:r>
          <a:r>
            <a:rPr lang="fr-FR" sz="900" b="0">
              <a:solidFill>
                <a:sysClr val="windowText" lastClr="000000"/>
              </a:solidFill>
              <a:latin typeface="Arial" panose="020B0604020202020204" pitchFamily="34" charset="0"/>
              <a:ea typeface="+mn-ea"/>
              <a:cs typeface="Arial" panose="020B0604020202020204" pitchFamily="34" charset="0"/>
            </a:rPr>
            <a:t> Saisissez votre date et votre heure de départ</a:t>
          </a:r>
          <a:r>
            <a:rPr lang="fr-FR" sz="900" b="0" baseline="0">
              <a:solidFill>
                <a:sysClr val="windowText" lastClr="000000"/>
              </a:solidFill>
              <a:latin typeface="Arial" panose="020B0604020202020204" pitchFamily="34" charset="0"/>
              <a:ea typeface="+mn-ea"/>
              <a:cs typeface="Arial" panose="020B0604020202020204" pitchFamily="34" charset="0"/>
            </a:rPr>
            <a:t> prévues ainsi que votre vitesse moyenne prévue.</a:t>
          </a:r>
          <a:endParaRPr lang="fr-FR" sz="900" b="0">
            <a:solidFill>
              <a:sysClr val="windowText" lastClr="000000"/>
            </a:solidFill>
            <a:latin typeface="Arial" panose="020B0604020202020204" pitchFamily="34" charset="0"/>
            <a:ea typeface="+mn-ea"/>
            <a:cs typeface="Arial" panose="020B0604020202020204" pitchFamily="34" charset="0"/>
          </a:endParaRPr>
        </a:p>
        <a:p>
          <a:pPr marL="0" indent="0" algn="l"/>
          <a:r>
            <a:rPr lang="fr-FR" sz="900" b="0">
              <a:solidFill>
                <a:sysClr val="windowText" lastClr="000000"/>
              </a:solidFill>
              <a:latin typeface="Arial" panose="020B0604020202020204" pitchFamily="34" charset="0"/>
              <a:ea typeface="+mn-ea"/>
              <a:cs typeface="Arial" panose="020B0604020202020204" pitchFamily="34" charset="0"/>
            </a:rPr>
            <a:t>Cela vous permet d'estimer votre catégrorie de flèche (Or / Argent / Bronze) en fonction du barème indiqué</a:t>
          </a:r>
          <a:r>
            <a:rPr lang="fr-FR" sz="900" b="0" baseline="0">
              <a:solidFill>
                <a:sysClr val="windowText" lastClr="000000"/>
              </a:solidFill>
              <a:latin typeface="Arial" panose="020B0604020202020204" pitchFamily="34" charset="0"/>
              <a:ea typeface="+mn-ea"/>
              <a:cs typeface="Arial" panose="020B0604020202020204" pitchFamily="34" charset="0"/>
            </a:rPr>
            <a:t> sur les plans de route (points 7 et 8)</a:t>
          </a:r>
          <a:endParaRPr lang="fr-FR" sz="900" b="0">
            <a:solidFill>
              <a:sysClr val="windowText" lastClr="000000"/>
            </a:solidFill>
            <a:latin typeface="Arial" panose="020B0604020202020204" pitchFamily="34" charset="0"/>
            <a:ea typeface="+mn-ea"/>
            <a:cs typeface="Arial" panose="020B0604020202020204" pitchFamily="34" charset="0"/>
          </a:endParaRPr>
        </a:p>
        <a:p>
          <a:pPr marL="0" indent="0" algn="l"/>
          <a:r>
            <a:rPr lang="fr-FR" sz="2000" b="1">
              <a:solidFill>
                <a:srgbClr val="0B50AE"/>
              </a:solidFill>
              <a:effectLst/>
              <a:latin typeface="+mn-lt"/>
              <a:ea typeface="+mn-ea"/>
              <a:cs typeface="+mn-cs"/>
            </a:rPr>
            <a:t>5</a:t>
          </a:r>
          <a:r>
            <a:rPr lang="fr-FR" sz="1100" b="0" baseline="0">
              <a:solidFill>
                <a:srgbClr val="0B50AE"/>
              </a:solidFill>
              <a:effectLst/>
              <a:latin typeface="+mn-lt"/>
              <a:ea typeface="+mn-ea"/>
              <a:cs typeface="+mn-cs"/>
            </a:rPr>
            <a:t> </a:t>
          </a:r>
          <a:r>
            <a:rPr lang="fr-FR" sz="900" b="0">
              <a:solidFill>
                <a:sysClr val="windowText" lastClr="000000"/>
              </a:solidFill>
              <a:latin typeface="Arial" panose="020B0604020202020204" pitchFamily="34" charset="0"/>
              <a:ea typeface="+mn-ea"/>
              <a:cs typeface="Arial" panose="020B0604020202020204" pitchFamily="34" charset="0"/>
            </a:rPr>
            <a:t>La</a:t>
          </a:r>
          <a:r>
            <a:rPr lang="fr-FR" sz="900" b="0" baseline="0">
              <a:solidFill>
                <a:sysClr val="windowText" lastClr="000000"/>
              </a:solidFill>
              <a:latin typeface="Arial" panose="020B0604020202020204" pitchFamily="34" charset="0"/>
              <a:ea typeface="+mn-ea"/>
              <a:cs typeface="Arial" panose="020B0604020202020204" pitchFamily="34" charset="0"/>
            </a:rPr>
            <a:t> partie "2 Réalisé" sert à calculer vore catégorie d'homologation finale</a:t>
          </a:r>
          <a:endParaRPr lang="fr-FR" sz="900" b="0">
            <a:solidFill>
              <a:sysClr val="windowText" lastClr="000000"/>
            </a:solidFill>
            <a:latin typeface="Arial" panose="020B0604020202020204" pitchFamily="34" charset="0"/>
            <a:ea typeface="+mn-ea"/>
            <a:cs typeface="Arial" panose="020B0604020202020204" pitchFamily="34" charset="0"/>
          </a:endParaRPr>
        </a:p>
      </xdr:txBody>
    </xdr:sp>
    <xdr:clientData/>
  </xdr:twoCellAnchor>
  <xdr:twoCellAnchor>
    <xdr:from>
      <xdr:col>12</xdr:col>
      <xdr:colOff>438150</xdr:colOff>
      <xdr:row>3</xdr:row>
      <xdr:rowOff>152400</xdr:rowOff>
    </xdr:from>
    <xdr:to>
      <xdr:col>20</xdr:col>
      <xdr:colOff>133350</xdr:colOff>
      <xdr:row>13</xdr:row>
      <xdr:rowOff>76199</xdr:rowOff>
    </xdr:to>
    <xdr:sp macro="" textlink="">
      <xdr:nvSpPr>
        <xdr:cNvPr id="11" name="Rectangle 10">
          <a:extLst>
            <a:ext uri="{FF2B5EF4-FFF2-40B4-BE49-F238E27FC236}">
              <a16:creationId xmlns:a16="http://schemas.microsoft.com/office/drawing/2014/main" id="{5F5B0511-37AF-41C5-891C-76D1124F0389}"/>
            </a:ext>
          </a:extLst>
        </xdr:cNvPr>
        <xdr:cNvSpPr/>
      </xdr:nvSpPr>
      <xdr:spPr>
        <a:xfrm>
          <a:off x="9991725" y="1295400"/>
          <a:ext cx="8953500" cy="1733549"/>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050">
            <a:latin typeface="Arial" panose="020B0604020202020204" pitchFamily="34" charset="0"/>
            <a:cs typeface="Arial" panose="020B0604020202020204" pitchFamily="34" charset="0"/>
          </a:endParaRPr>
        </a:p>
      </xdr:txBody>
    </xdr:sp>
    <xdr:clientData/>
  </xdr:twoCellAnchor>
  <xdr:twoCellAnchor>
    <xdr:from>
      <xdr:col>2</xdr:col>
      <xdr:colOff>371475</xdr:colOff>
      <xdr:row>13</xdr:row>
      <xdr:rowOff>152400</xdr:rowOff>
    </xdr:from>
    <xdr:to>
      <xdr:col>20</xdr:col>
      <xdr:colOff>133350</xdr:colOff>
      <xdr:row>28</xdr:row>
      <xdr:rowOff>152400</xdr:rowOff>
    </xdr:to>
    <xdr:sp macro="" textlink="">
      <xdr:nvSpPr>
        <xdr:cNvPr id="3" name="Rectangle 2">
          <a:extLst>
            <a:ext uri="{FF2B5EF4-FFF2-40B4-BE49-F238E27FC236}">
              <a16:creationId xmlns:a16="http://schemas.microsoft.com/office/drawing/2014/main" id="{F109BC53-CFB9-47D7-B6DE-D180FCDE4C19}"/>
            </a:ext>
          </a:extLst>
        </xdr:cNvPr>
        <xdr:cNvSpPr/>
      </xdr:nvSpPr>
      <xdr:spPr>
        <a:xfrm>
          <a:off x="1162050" y="3105150"/>
          <a:ext cx="17783175" cy="2714625"/>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050">
            <a:latin typeface="Arial" panose="020B0604020202020204" pitchFamily="34" charset="0"/>
            <a:cs typeface="Arial" panose="020B0604020202020204" pitchFamily="34" charset="0"/>
          </a:endParaRPr>
        </a:p>
      </xdr:txBody>
    </xdr:sp>
    <xdr:clientData/>
  </xdr:twoCellAnchor>
  <xdr:twoCellAnchor>
    <xdr:from>
      <xdr:col>2</xdr:col>
      <xdr:colOff>419100</xdr:colOff>
      <xdr:row>31</xdr:row>
      <xdr:rowOff>133350</xdr:rowOff>
    </xdr:from>
    <xdr:to>
      <xdr:col>20</xdr:col>
      <xdr:colOff>180975</xdr:colOff>
      <xdr:row>61</xdr:row>
      <xdr:rowOff>152400</xdr:rowOff>
    </xdr:to>
    <xdr:sp macro="" textlink="">
      <xdr:nvSpPr>
        <xdr:cNvPr id="14" name="Rectangle 13">
          <a:extLst>
            <a:ext uri="{FF2B5EF4-FFF2-40B4-BE49-F238E27FC236}">
              <a16:creationId xmlns:a16="http://schemas.microsoft.com/office/drawing/2014/main" id="{77F77846-5497-4365-ABB0-2F29FD727D06}"/>
            </a:ext>
          </a:extLst>
        </xdr:cNvPr>
        <xdr:cNvSpPr/>
      </xdr:nvSpPr>
      <xdr:spPr>
        <a:xfrm>
          <a:off x="1209675" y="6343650"/>
          <a:ext cx="17783175" cy="5448300"/>
        </a:xfrm>
        <a:prstGeom prst="rect">
          <a:avLst/>
        </a:prstGeom>
        <a:noFill/>
        <a:ln w="381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050">
            <a:latin typeface="Arial" panose="020B0604020202020204" pitchFamily="34" charset="0"/>
            <a:cs typeface="Arial" panose="020B060402020202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707DCEA-2CF4-4665-AB0D-D5DC76FB4D92}" name="ListF" displayName="ListF" ref="A1:A21" totalsRowShown="0">
  <autoFilter ref="A1:A21" xr:uid="{A707DCEA-2CF4-4665-AB0D-D5DC76FB4D92}"/>
  <tableColumns count="1">
    <tableColumn id="1" xr3:uid="{58DE2588-F550-4FF9-B56F-B1F13469CF6D}" name="Liste"/>
  </tableColumns>
  <tableStyleInfo name="TableStyleLight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2FB16D5-FADB-4FCB-B18C-6E40F49B4146}" name="Minutes" displayName="Minutes" ref="D1:D62" totalsRowShown="0">
  <autoFilter ref="D1:D62" xr:uid="{32FB16D5-FADB-4FCB-B18C-6E40F49B4146}"/>
  <tableColumns count="1">
    <tableColumn id="1" xr3:uid="{17ABAEC2-F684-4C34-8EC5-279CD10A472F}" name="Minutes">
      <calculatedColumnFormula>D1+1</calculatedColumnFormula>
    </tableColumn>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516A26B-6AEC-4BF2-83BB-E401FA203886}" name="Heures" displayName="Heures" ref="C1:C26" totalsRowShown="0">
  <autoFilter ref="C1:C26" xr:uid="{9516A26B-6AEC-4BF2-83BB-E401FA203886}"/>
  <tableColumns count="1">
    <tableColumn id="1" xr3:uid="{EB0B5384-4030-4355-9BB3-9978782F1A15}" name="Heures">
      <calculatedColumnFormula>C1+1</calculatedColumnFormula>
    </tableColumn>
  </tableColumns>
  <tableStyleInfo name="TableStyleMedium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411687D-7BF4-407D-B0A2-4AEDA986E368}" name="DepartList" displayName="DepartList" ref="F1:F4" totalsRowShown="0">
  <autoFilter ref="F1:F4" xr:uid="{F411687D-7BF4-407D-B0A2-4AEDA986E368}"/>
  <tableColumns count="1">
    <tableColumn id="1" xr3:uid="{4CF0F5FF-A086-4D78-820D-48BE9C57F87F}" name="Lieu de départ"/>
  </tableColumns>
  <tableStyleInfo name="TableStyleMedium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69E1843-6003-482A-81F7-273C09A0CA08}" name="ArriveeList" displayName="ArriveeList" ref="G1:G4" totalsRowShown="0">
  <autoFilter ref="G1:G4" xr:uid="{F69E1843-6003-482A-81F7-273C09A0CA08}"/>
  <tableColumns count="1">
    <tableColumn id="1" xr3:uid="{4F06A99E-E9E2-4001-85DE-6DDCA9C9C75A}" name="Lieu d'arrivée"/>
  </tableColumns>
  <tableStyleInfo name="TableStyleMedium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66707B8-BAC0-41C0-871A-A80265465B5D}" name="Deport" displayName="Deport" ref="I1:J60" totalsRowShown="0">
  <autoFilter ref="I1:J60" xr:uid="{566707B8-BAC0-41C0-871A-A80265465B5D}"/>
  <tableColumns count="2">
    <tableColumn id="1" xr3:uid="{2ADD7F14-EC66-4D7F-9D66-C0EF489D2441}" name="Liste des déports">
      <calculatedColumnFormula>IF(Liste!C38=2,Liste!P38,"")</calculatedColumnFormula>
    </tableColumn>
    <tableColumn id="2" xr3:uid="{61F1D049-EC70-4406-883B-0675E211BA3C}" name="Selection" dataDxfId="48">
      <calculatedColumnFormula>IF(I2="",0,COUNTIF(Calculateur!$E$5:$E$6,Settings!I2))</calculatedColumnFormula>
    </tableColumn>
  </tableColumns>
  <tableStyleInfo name="TableStyleMedium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CB6154D-A56F-4CDC-86EB-FA3EB0F24D66}" name="Tableau7" displayName="Tableau7" ref="A1:AG21" totalsRowShown="0" headerRowDxfId="47" dataDxfId="46">
  <autoFilter ref="A1:AG21" xr:uid="{8CB6154D-A56F-4CDC-86EB-FA3EB0F24D66}"/>
  <tableColumns count="33">
    <tableColumn id="1" xr3:uid="{D31B70EF-7E52-4465-A5A0-E838D7AF74B5}" name="Flèche" dataDxfId="45"/>
    <tableColumn id="2" xr3:uid="{6AA3C8DC-7992-42B8-855C-18F797E77C8B}" name="Départ" dataDxfId="44"/>
    <tableColumn id="3" xr3:uid="{B6961AC9-4FE6-40FD-B170-ABDE7C0E1819}" name="Etape 0" dataDxfId="43"/>
    <tableColumn id="15" xr3:uid="{94FDBBE2-439A-45FE-8E92-10552E461164}" name="KM0"/>
    <tableColumn id="27" xr3:uid="{50A41C4C-F72E-444C-9BAF-A81027CD5440}" name="D0" dataDxfId="42"/>
    <tableColumn id="4" xr3:uid="{14FEEF53-1722-42EA-A2B5-3A5A131CDC1D}" name="Etape 1" dataDxfId="41"/>
    <tableColumn id="16" xr3:uid="{BBDAFB16-C50D-4FBB-B19F-9F3201BB97F9}" name="KM1"/>
    <tableColumn id="28" xr3:uid="{7B2A3571-FF59-428A-95EE-DD56D3CFFB3A}" name="D1" dataDxfId="40"/>
    <tableColumn id="5" xr3:uid="{7E04C788-9B92-4C30-BE70-993124C693FE}" name="Etape 2" dataDxfId="39"/>
    <tableColumn id="17" xr3:uid="{4507A8A9-64C1-4D9B-867B-9DCCE6C0D1FD}" name="KM2"/>
    <tableColumn id="29" xr3:uid="{87B86A98-301F-483F-AFB3-96B317A93121}" name="D2" dataDxfId="38"/>
    <tableColumn id="6" xr3:uid="{14DA5913-4142-48E7-B4DC-0F3AC8DBC755}" name="Etape 3" dataDxfId="37"/>
    <tableColumn id="18" xr3:uid="{8419D35B-9F8F-4F5D-B0CF-28FE651095B8}" name="KM3"/>
    <tableColumn id="30" xr3:uid="{553C3CB9-AD16-4915-8215-7CAD9298BB0B}" name="D3" dataDxfId="36"/>
    <tableColumn id="7" xr3:uid="{84C31194-7940-4BD3-8BCD-37B578E07279}" name="Etape 4" dataDxfId="35"/>
    <tableColumn id="19" xr3:uid="{3FF22276-D320-452C-9680-B21E7341E578}" name="KM4"/>
    <tableColumn id="31" xr3:uid="{A4208CAE-3797-4BED-A9CF-98E99A140B27}" name="D4" dataDxfId="34"/>
    <tableColumn id="8" xr3:uid="{8590C281-4F58-43B0-8FDB-6A1574E7D119}" name="Etape 5" dataDxfId="33"/>
    <tableColumn id="20" xr3:uid="{8CC06DDD-F8AD-4CB4-B7EF-7A1C69CC00E5}" name="KM5"/>
    <tableColumn id="32" xr3:uid="{D617C7B8-5E32-48CC-9C72-E3B6A4821B7B}" name="D5" dataDxfId="32"/>
    <tableColumn id="9" xr3:uid="{C641EE7E-A837-43A4-BF4C-94834E7BA15D}" name="Etape 6" dataDxfId="31"/>
    <tableColumn id="21" xr3:uid="{A376FEDC-C771-4EB8-9D0B-51EED6C45384}" name="KM6"/>
    <tableColumn id="33" xr3:uid="{4FFB2D29-7AD0-4271-8288-96E3BEAB8C10}" name="D6" dataDxfId="30"/>
    <tableColumn id="10" xr3:uid="{936DB14B-7364-4CE3-BBEF-52600136747B}" name="Etape 7" dataDxfId="29"/>
    <tableColumn id="22" xr3:uid="{885D7414-D70B-4A68-BC59-0AFD87C6FDE8}" name="KM7"/>
    <tableColumn id="34" xr3:uid="{C88FEC04-78B3-4C3F-80DC-FCCDA4BDF45A}" name="D7" dataDxfId="28"/>
    <tableColumn id="11" xr3:uid="{92F44BA3-82DF-427D-AF69-392D63AD0FE8}" name="Etape 8" dataDxfId="27"/>
    <tableColumn id="23" xr3:uid="{56E8FA63-6548-469A-B44E-3936E665BF24}" name="KM8"/>
    <tableColumn id="35" xr3:uid="{F1B79205-8AF6-484A-8652-10A55A6F87D2}" name="D8" dataDxfId="26"/>
    <tableColumn id="12" xr3:uid="{3D28A94B-756A-483A-A116-2C30674AAF74}" name="KM option1" dataDxfId="25">
      <calculatedColumnFormula>MAX(Tableau7[[#This Row],[KM8]],Tableau7[[#This Row],[KM7]],Tableau7[[#This Row],[KM6]],Tableau7[[#This Row],[KM5]],Tableau7[[#This Row],[KM4]],Tableau7[[#This Row],[KM3]],Tableau7[[#This Row],[KM2]],Tableau7[[#This Row],[KM1]],Tableau7[[#This Row],[KM0]])</calculatedColumnFormula>
    </tableColumn>
    <tableColumn id="13" xr3:uid="{490B61A1-93F9-43FF-9AA6-C37405E81286}" name="D+ option1" dataDxfId="24">
      <calculatedColumnFormula>MAX(Tableau7[[#This Row],[KM8]],Tableau7[[#This Row],[KM7]],Tableau7[[#This Row],[KM6]],Tableau7[[#This Row],[KM5]],Tableau7[[#This Row],[KM4]],Tableau7[[#This Row],[KM3]],Tableau7[[#This Row],[KM2]],Tableau7[[#This Row],[KM1]],Tableau7[[#This Row],[KM0]])</calculatedColumnFormula>
    </tableColumn>
    <tableColumn id="14" xr3:uid="{862613E7-57D1-4207-86B3-D42A65C0718F}" name="KM option2" dataDxfId="23">
      <calculatedColumnFormula>Tableau7[[#This Row],[KM option1]]-Tableau7[[#This Row],[KM0]]</calculatedColumnFormula>
    </tableColumn>
    <tableColumn id="24" xr3:uid="{AA8375C9-3C54-49DC-A8EF-D7DA985098CC}" name="D+ option2" dataDxfId="22">
      <calculatedColumnFormula>Tableau7[[#This Row],[D+ option1]]-Tableau7[[#This Row],[D0]]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table" Target="../tables/table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3" Type="http://schemas.openxmlformats.org/officeDocument/2006/relationships/hyperlink" Target="https://www.audax-club-parisien.com/wp-content/uploads/2025/02/13-FF_iti_Paris-Bordeaux_2025_v2.pdf" TargetMode="External"/><Relationship Id="rId18" Type="http://schemas.openxmlformats.org/officeDocument/2006/relationships/hyperlink" Target="https://www.audax-club-parisien.com/wp-content/uploads/2025/01/08-FF_iti_Paris-Nice_2025.pdf" TargetMode="External"/><Relationship Id="rId26" Type="http://schemas.openxmlformats.org/officeDocument/2006/relationships/hyperlink" Target="https://www.openrunner.com/route-details/18054362" TargetMode="External"/><Relationship Id="rId39" Type="http://schemas.openxmlformats.org/officeDocument/2006/relationships/hyperlink" Target="https://www.openrunner.com/route-details/18775372" TargetMode="External"/><Relationship Id="rId21" Type="http://schemas.openxmlformats.org/officeDocument/2006/relationships/hyperlink" Target="https://www.openrunner.com/route-details/16059614" TargetMode="External"/><Relationship Id="rId34" Type="http://schemas.openxmlformats.org/officeDocument/2006/relationships/hyperlink" Target="https://www.openrunner.com/route-details/20763473" TargetMode="External"/><Relationship Id="rId42" Type="http://schemas.openxmlformats.org/officeDocument/2006/relationships/drawing" Target="../drawings/drawing2.xml"/><Relationship Id="rId7" Type="http://schemas.openxmlformats.org/officeDocument/2006/relationships/hyperlink" Target="https://www.audax-club-parisien.com/wp-content/uploads/2025/01/15-FF_iti_Paris-Nantes_2025.pdf" TargetMode="External"/><Relationship Id="rId2" Type="http://schemas.openxmlformats.org/officeDocument/2006/relationships/hyperlink" Target="https://www.audax-club-parisien.com/wp-content/uploads/2025/01/19-FF_iti_Paris-Le-Havre_2025.pdf" TargetMode="External"/><Relationship Id="rId16" Type="http://schemas.openxmlformats.org/officeDocument/2006/relationships/hyperlink" Target="https://www.audax-club-parisien.com/wp-content/uploads/2024/03/12_FF_iti_Paris-Hendaye.pdf" TargetMode="External"/><Relationship Id="rId20" Type="http://schemas.openxmlformats.org/officeDocument/2006/relationships/hyperlink" Target="https://www.audax-club-parisien.com/wp-content/uploads/2024/03/20-FF_Paris_Dieppe-1.pdf" TargetMode="External"/><Relationship Id="rId29" Type="http://schemas.openxmlformats.org/officeDocument/2006/relationships/hyperlink" Target="https://www.openrunner.com/route-details/18054694" TargetMode="External"/><Relationship Id="rId41" Type="http://schemas.openxmlformats.org/officeDocument/2006/relationships/printerSettings" Target="../printerSettings/printerSettings2.bin"/><Relationship Id="rId1" Type="http://schemas.openxmlformats.org/officeDocument/2006/relationships/hyperlink" Target="https://www.audax-club-parisien.com/wp-content/uploads/2024/03/03-FF_iti_Paris-Charleville.pdf" TargetMode="External"/><Relationship Id="rId6" Type="http://schemas.openxmlformats.org/officeDocument/2006/relationships/hyperlink" Target="https://www.audax-club-parisien.com/wp-content/uploads/2024/03/18_FF_iti_Paris-Cherbourg.pdf" TargetMode="External"/><Relationship Id="rId11" Type="http://schemas.openxmlformats.org/officeDocument/2006/relationships/hyperlink" Target="https://www.audax-club-parisien.com/wp-content/uploads/2024/03/06_FF_iti_Paris-Bellegarde.pdf" TargetMode="External"/><Relationship Id="rId24" Type="http://schemas.openxmlformats.org/officeDocument/2006/relationships/hyperlink" Target="https://www.openrunner.com/route-details/18054639" TargetMode="External"/><Relationship Id="rId32" Type="http://schemas.openxmlformats.org/officeDocument/2006/relationships/hyperlink" Target="https://www.openrunner.com/route-details/18134918" TargetMode="External"/><Relationship Id="rId37" Type="http://schemas.openxmlformats.org/officeDocument/2006/relationships/hyperlink" Target="https://www.openrunner.com/route-details/18160138" TargetMode="External"/><Relationship Id="rId40" Type="http://schemas.openxmlformats.org/officeDocument/2006/relationships/hyperlink" Target="https://www.openrunner.com/route-details/18160636" TargetMode="External"/><Relationship Id="rId5" Type="http://schemas.openxmlformats.org/officeDocument/2006/relationships/hyperlink" Target="https://www.audax-club-parisien.com/wp-content/uploads/2024/03/17_FF_iti_Paris-Mont-St-Michel.pdf" TargetMode="External"/><Relationship Id="rId15" Type="http://schemas.openxmlformats.org/officeDocument/2006/relationships/hyperlink" Target="https://www.audax-club-parisien.com/wp-content/uploads/2024/03/11_FF_iti_Paris-Luchon.pdf" TargetMode="External"/><Relationship Id="rId23" Type="http://schemas.openxmlformats.org/officeDocument/2006/relationships/hyperlink" Target="https://www.openrunner.com/route-details/19863360" TargetMode="External"/><Relationship Id="rId28" Type="http://schemas.openxmlformats.org/officeDocument/2006/relationships/hyperlink" Target="https://www.openrunner.com/route-details/16123846" TargetMode="External"/><Relationship Id="rId36" Type="http://schemas.openxmlformats.org/officeDocument/2006/relationships/hyperlink" Target="https://www.openrunner.com/route-details/18160243" TargetMode="External"/><Relationship Id="rId10" Type="http://schemas.openxmlformats.org/officeDocument/2006/relationships/hyperlink" Target="https://www.audax-club-parisien.com/wp-content/uploads/2024/03/04_FF_iti_Paris-Strasbourg.pdf" TargetMode="External"/><Relationship Id="rId19" Type="http://schemas.openxmlformats.org/officeDocument/2006/relationships/hyperlink" Target="https://www.audax-club-parisien.com/wp-content/uploads/2024/03/10_FF_iti_Paris-Perpignan.pdf" TargetMode="External"/><Relationship Id="rId31" Type="http://schemas.openxmlformats.org/officeDocument/2006/relationships/hyperlink" Target="https://www.openrunner.com/route-details/18099187" TargetMode="External"/><Relationship Id="rId4" Type="http://schemas.openxmlformats.org/officeDocument/2006/relationships/hyperlink" Target="https://www.audax-club-parisien.com/wp-content/uploads/2024/03/01_FF_iti_Paris-Calais.pdf" TargetMode="External"/><Relationship Id="rId9" Type="http://schemas.openxmlformats.org/officeDocument/2006/relationships/hyperlink" Target="https://www.audax-club-parisien.com/wp-content/uploads/2024/03/14-FF_iti_Paris-La-Rochelle.pdf" TargetMode="External"/><Relationship Id="rId14" Type="http://schemas.openxmlformats.org/officeDocument/2006/relationships/hyperlink" Target="https://www.audax-club-parisien.com/wp-content/uploads/2025/01/07-FF_iti_Paris-Briancon_2025.pdf" TargetMode="External"/><Relationship Id="rId22" Type="http://schemas.openxmlformats.org/officeDocument/2006/relationships/hyperlink" Target="https://www.openrunner.com/route-details/18001619" TargetMode="External"/><Relationship Id="rId27" Type="http://schemas.openxmlformats.org/officeDocument/2006/relationships/hyperlink" Target="https://www.openrunner.com/route-details/18054505" TargetMode="External"/><Relationship Id="rId30" Type="http://schemas.openxmlformats.org/officeDocument/2006/relationships/hyperlink" Target="https://www.openrunner.com/route-details/17793209" TargetMode="External"/><Relationship Id="rId35" Type="http://schemas.openxmlformats.org/officeDocument/2006/relationships/hyperlink" Target="https://www.openrunner.com/route-details/17060340" TargetMode="External"/><Relationship Id="rId8" Type="http://schemas.openxmlformats.org/officeDocument/2006/relationships/hyperlink" Target="https://www.audax-club-parisien.com/wp-content/uploads/2024/03/05_FF_iti_Paris-Montbeliard.pdf" TargetMode="External"/><Relationship Id="rId3" Type="http://schemas.openxmlformats.org/officeDocument/2006/relationships/hyperlink" Target="https://www.audax-club-parisien.com/wp-content/uploads/2024/03/02_FF_iti_Paris-Lille.pdf" TargetMode="External"/><Relationship Id="rId12" Type="http://schemas.openxmlformats.org/officeDocument/2006/relationships/hyperlink" Target="https://www.audax-club-parisien.com/wp-content/uploads/2024/03/16_FF_iti_Paris-Brest.pdf" TargetMode="External"/><Relationship Id="rId17" Type="http://schemas.openxmlformats.org/officeDocument/2006/relationships/hyperlink" Target="https://www.audax-club-parisien.com/wp-content/uploads/2024/03/09_FF_iti_Paris-Marseille.pdf" TargetMode="External"/><Relationship Id="rId25" Type="http://schemas.openxmlformats.org/officeDocument/2006/relationships/hyperlink" Target="https://www.openrunner.com/route-details/18054124" TargetMode="External"/><Relationship Id="rId33" Type="http://schemas.openxmlformats.org/officeDocument/2006/relationships/hyperlink" Target="https://www.openrunner.com/route-details/18054224" TargetMode="External"/><Relationship Id="rId38" Type="http://schemas.openxmlformats.org/officeDocument/2006/relationships/hyperlink" Target="https://www.openrunner.com/route-details/18160576"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757C1-CB15-4990-A64D-122202F24D62}">
  <sheetPr codeName="Feuil21">
    <tabColor theme="1"/>
  </sheetPr>
  <dimension ref="A1:R62"/>
  <sheetViews>
    <sheetView showGridLines="0" topLeftCell="E1" workbookViewId="0">
      <selection activeCell="G17" sqref="G17"/>
    </sheetView>
  </sheetViews>
  <sheetFormatPr baseColWidth="10" defaultColWidth="11.5" defaultRowHeight="14.25"/>
  <cols>
    <col min="6" max="6" width="15.375" customWidth="1"/>
    <col min="7" max="7" width="17.25" customWidth="1"/>
    <col min="9" max="9" width="20.625" customWidth="1"/>
    <col min="16" max="16" width="14" customWidth="1"/>
    <col min="17" max="17" width="28.25" customWidth="1"/>
  </cols>
  <sheetData>
    <row r="1" spans="1:18" ht="15">
      <c r="A1" t="s">
        <v>134</v>
      </c>
      <c r="C1" t="s">
        <v>137</v>
      </c>
      <c r="D1" t="s">
        <v>138</v>
      </c>
      <c r="F1" t="s">
        <v>148</v>
      </c>
      <c r="G1" t="s">
        <v>150</v>
      </c>
      <c r="I1" t="s">
        <v>152</v>
      </c>
      <c r="J1" t="s">
        <v>149</v>
      </c>
      <c r="L1" s="4" t="s">
        <v>129</v>
      </c>
      <c r="P1" t="s">
        <v>406</v>
      </c>
    </row>
    <row r="2" spans="1:18" ht="15">
      <c r="A2" t="s">
        <v>77</v>
      </c>
      <c r="C2" t="s">
        <v>403</v>
      </c>
      <c r="D2" t="s">
        <v>404</v>
      </c>
      <c r="F2" t="str">
        <f>IF(Calculateur!E3="","","PARIS")</f>
        <v/>
      </c>
      <c r="G2" t="str">
        <f>IF(Calculateur!$E$5=$F$4,$F2,$F$4)</f>
        <v/>
      </c>
      <c r="I2" t="str">
        <f>IF(Liste!C38=2,Liste!P38,"")</f>
        <v/>
      </c>
      <c r="J2">
        <f>IF(I2="",0,COUNTIF(Calculateur!$E$5:$E$6,Settings!I2))</f>
        <v>0</v>
      </c>
      <c r="L2" s="4">
        <f>IF(SUM(Deport[Selection])&gt;0,2,1)</f>
        <v>1</v>
      </c>
    </row>
    <row r="3" spans="1:18">
      <c r="A3" t="s">
        <v>90</v>
      </c>
      <c r="C3">
        <v>0</v>
      </c>
      <c r="D3">
        <v>0</v>
      </c>
      <c r="F3" t="str">
        <f>IFERROR(VLOOKUP(2,Liste!O:P,2,0),"")</f>
        <v/>
      </c>
      <c r="G3" t="str">
        <f>IF(Calculateur!$E$5=$F$4,$F3,$F$4)</f>
        <v/>
      </c>
      <c r="I3" t="str">
        <f>IF(Liste!C39=2,Liste!P39,"")</f>
        <v>CORMEILLE EN PARISIS</v>
      </c>
      <c r="J3">
        <f>IF(I3="",0,COUNTIF(Calculateur!$E$5:$E$6,Settings!I3))</f>
        <v>0</v>
      </c>
      <c r="P3" s="66" t="s">
        <v>213</v>
      </c>
      <c r="Q3" s="66" t="s">
        <v>396</v>
      </c>
      <c r="R3" s="66">
        <f t="shared" ref="R3:R16" si="0">LEN(Q3)</f>
        <v>16</v>
      </c>
    </row>
    <row r="4" spans="1:18">
      <c r="A4" t="s">
        <v>84</v>
      </c>
      <c r="C4">
        <f>C3+1</f>
        <v>1</v>
      </c>
      <c r="D4">
        <f>D3+1</f>
        <v>1</v>
      </c>
      <c r="F4" t="str">
        <f>IFERROR(VLOOKUP(1,Liste!O:P,2,0),"")</f>
        <v/>
      </c>
      <c r="G4" t="str">
        <f>IF(Calculateur!$E$5=$F$4,G3,$F$4)</f>
        <v/>
      </c>
      <c r="I4" t="str">
        <f>IF(Liste!C6=2,Liste!P6,"")</f>
        <v/>
      </c>
      <c r="J4">
        <f>IF(I4="",0,COUNTIF(Calculateur!$E$5:$E$6,Settings!I4))</f>
        <v>0</v>
      </c>
      <c r="P4" s="66" t="s">
        <v>211</v>
      </c>
      <c r="Q4" s="66" t="s">
        <v>210</v>
      </c>
      <c r="R4" s="66">
        <f t="shared" si="0"/>
        <v>51</v>
      </c>
    </row>
    <row r="5" spans="1:18">
      <c r="A5" t="s">
        <v>96</v>
      </c>
      <c r="C5">
        <f t="shared" ref="C5" si="1">C4+1</f>
        <v>2</v>
      </c>
      <c r="D5">
        <f t="shared" ref="D5" si="2">D4+1</f>
        <v>2</v>
      </c>
      <c r="I5" t="str">
        <f>IF(Liste!C7=2,Liste!P7,"")</f>
        <v>TREMBLAY EN FRANCE</v>
      </c>
      <c r="J5">
        <f>IF(I5="",0,COUNTIF(Calculateur!$E$5:$E$6,Settings!I5))</f>
        <v>0</v>
      </c>
      <c r="P5" s="66" t="s">
        <v>212</v>
      </c>
      <c r="Q5" s="66" t="s">
        <v>225</v>
      </c>
      <c r="R5" s="66">
        <f t="shared" si="0"/>
        <v>17</v>
      </c>
    </row>
    <row r="6" spans="1:18">
      <c r="A6" t="s">
        <v>33</v>
      </c>
      <c r="C6">
        <f t="shared" ref="C6" si="3">C5+1</f>
        <v>3</v>
      </c>
      <c r="D6">
        <f t="shared" ref="D6" si="4">D5+1</f>
        <v>3</v>
      </c>
      <c r="I6" t="str">
        <f>IF(Liste!C40=2,Liste!P40,"")</f>
        <v/>
      </c>
      <c r="J6">
        <f>IF(I6="",0,COUNTIF(Calculateur!$E$5:$E$6,Settings!I6))</f>
        <v>0</v>
      </c>
      <c r="P6" s="66" t="s">
        <v>214</v>
      </c>
      <c r="Q6" s="67"/>
      <c r="R6" s="66">
        <f t="shared" si="0"/>
        <v>0</v>
      </c>
    </row>
    <row r="7" spans="1:18">
      <c r="A7" t="s">
        <v>12</v>
      </c>
      <c r="C7">
        <f t="shared" ref="C7" si="5">C6+1</f>
        <v>4</v>
      </c>
      <c r="D7">
        <f t="shared" ref="D7" si="6">D6+1</f>
        <v>4</v>
      </c>
      <c r="I7" t="str">
        <f>IF(Liste!C41=2,Liste!P41,"")</f>
        <v>LA FRETTE</v>
      </c>
      <c r="J7">
        <f>IF(I7="",0,COUNTIF(Calculateur!$E$5:$E$6,Settings!I7))</f>
        <v>0</v>
      </c>
      <c r="P7" s="66" t="s">
        <v>215</v>
      </c>
      <c r="Q7" s="67" t="s">
        <v>226</v>
      </c>
      <c r="R7" s="66">
        <f t="shared" si="0"/>
        <v>4</v>
      </c>
    </row>
    <row r="8" spans="1:18">
      <c r="A8" t="s">
        <v>46</v>
      </c>
      <c r="C8">
        <f t="shared" ref="C8" si="7">C7+1</f>
        <v>5</v>
      </c>
      <c r="D8">
        <f t="shared" ref="D8" si="8">D7+1</f>
        <v>5</v>
      </c>
      <c r="I8" t="str">
        <f>IF(Liste!C4=2,Liste!P4,"")</f>
        <v/>
      </c>
      <c r="J8">
        <f>IF(I8="",0,COUNTIF(Calculateur!$E$5:$E$6,Settings!I8))</f>
        <v>0</v>
      </c>
      <c r="P8" s="66" t="s">
        <v>216</v>
      </c>
      <c r="Q8" s="67" t="s">
        <v>227</v>
      </c>
      <c r="R8" s="66">
        <f t="shared" si="0"/>
        <v>7</v>
      </c>
    </row>
    <row r="9" spans="1:18">
      <c r="A9" t="s">
        <v>5</v>
      </c>
      <c r="C9">
        <f t="shared" ref="C9" si="9">C8+1</f>
        <v>6</v>
      </c>
      <c r="D9">
        <f t="shared" ref="D9" si="10">D8+1</f>
        <v>6</v>
      </c>
      <c r="I9" t="str">
        <f>IF(Liste!C5=2,Liste!P5,"")</f>
        <v>VILLIERS LE BEL</v>
      </c>
      <c r="J9">
        <f>IF(I9="",0,COUNTIF(Calculateur!$E$5:$E$6,Settings!I9))</f>
        <v>0</v>
      </c>
      <c r="P9" s="66" t="s">
        <v>217</v>
      </c>
      <c r="Q9" s="67"/>
      <c r="R9" s="66">
        <f t="shared" si="0"/>
        <v>0</v>
      </c>
    </row>
    <row r="10" spans="1:18">
      <c r="A10" t="s">
        <v>108</v>
      </c>
      <c r="C10">
        <f t="shared" ref="C10" si="11">C9+1</f>
        <v>7</v>
      </c>
      <c r="D10">
        <f t="shared" ref="D10" si="12">D9+1</f>
        <v>7</v>
      </c>
      <c r="I10" t="str">
        <f>IF(Liste!C2=2,Liste!P2,"")</f>
        <v/>
      </c>
      <c r="J10">
        <f>IF(I10="",0,COUNTIF(Calculateur!$E$5:$E$6,Settings!I10))</f>
        <v>0</v>
      </c>
      <c r="P10" s="66" t="s">
        <v>218</v>
      </c>
      <c r="Q10" s="67" t="s">
        <v>229</v>
      </c>
      <c r="R10" s="66">
        <f t="shared" si="0"/>
        <v>7</v>
      </c>
    </row>
    <row r="11" spans="1:18">
      <c r="A11" t="s">
        <v>65</v>
      </c>
      <c r="C11">
        <f t="shared" ref="C11" si="13">C10+1</f>
        <v>8</v>
      </c>
      <c r="D11">
        <f t="shared" ref="D11" si="14">D10+1</f>
        <v>8</v>
      </c>
      <c r="I11" t="str">
        <f>IF(Liste!C3=2,Liste!P3,"")</f>
        <v>TAVERNY</v>
      </c>
      <c r="J11">
        <f>IF(I11="",0,COUNTIF(Calculateur!$E$5:$E$6,Settings!I11))</f>
        <v>0</v>
      </c>
      <c r="P11" s="66" t="s">
        <v>219</v>
      </c>
      <c r="Q11" s="67" t="s">
        <v>230</v>
      </c>
      <c r="R11" s="66">
        <f t="shared" si="0"/>
        <v>17</v>
      </c>
    </row>
    <row r="12" spans="1:18">
      <c r="A12" t="s">
        <v>19</v>
      </c>
      <c r="C12">
        <f t="shared" ref="C12" si="15">C11+1</f>
        <v>9</v>
      </c>
      <c r="D12">
        <f t="shared" ref="D12" si="16">D11+1</f>
        <v>9</v>
      </c>
      <c r="I12" t="str">
        <f>IF(Liste!C34=2,Liste!P34,"")</f>
        <v/>
      </c>
      <c r="J12">
        <f>IF(I12="",0,COUNTIF(Calculateur!$E$5:$E$6,Settings!I12))</f>
        <v>0</v>
      </c>
      <c r="P12" s="66" t="s">
        <v>220</v>
      </c>
      <c r="Q12" s="66"/>
      <c r="R12" s="66">
        <f t="shared" si="0"/>
        <v>0</v>
      </c>
    </row>
    <row r="13" spans="1:18">
      <c r="A13" t="s">
        <v>26</v>
      </c>
      <c r="C13">
        <f t="shared" ref="C13" si="17">C12+1</f>
        <v>10</v>
      </c>
      <c r="D13">
        <f t="shared" ref="D13" si="18">D12+1</f>
        <v>10</v>
      </c>
      <c r="I13" t="str">
        <f>IF(Liste!C35=2,Liste!P35,"")</f>
        <v>NOISY LE ROI</v>
      </c>
      <c r="J13">
        <f>IF(I13="",0,COUNTIF(Calculateur!$E$5:$E$6,Settings!I13))</f>
        <v>0</v>
      </c>
      <c r="P13" s="66" t="s">
        <v>221</v>
      </c>
      <c r="Q13" s="66" t="s">
        <v>228</v>
      </c>
      <c r="R13" s="66">
        <f t="shared" si="0"/>
        <v>8</v>
      </c>
    </row>
    <row r="14" spans="1:18" ht="15">
      <c r="A14" t="s">
        <v>102</v>
      </c>
      <c r="C14">
        <f t="shared" ref="C14" si="19">C13+1</f>
        <v>11</v>
      </c>
      <c r="D14">
        <f t="shared" ref="D14" si="20">D13+1</f>
        <v>11</v>
      </c>
      <c r="I14" t="str">
        <f>IF(Liste!C36=2,Liste!P36,"")</f>
        <v/>
      </c>
      <c r="J14">
        <f>IF(I14="",0,COUNTIF(Calculateur!$E$5:$E$6,Settings!I14))</f>
        <v>0</v>
      </c>
      <c r="P14" s="66" t="s">
        <v>222</v>
      </c>
      <c r="Q14" s="66" t="s">
        <v>231</v>
      </c>
      <c r="R14" s="66">
        <f t="shared" si="0"/>
        <v>14</v>
      </c>
    </row>
    <row r="15" spans="1:18" ht="15">
      <c r="A15" t="s">
        <v>111</v>
      </c>
      <c r="C15">
        <f t="shared" ref="C15" si="21">C14+1</f>
        <v>12</v>
      </c>
      <c r="D15">
        <f t="shared" ref="D15" si="22">D14+1</f>
        <v>12</v>
      </c>
      <c r="I15" t="str">
        <f>IF(Liste!C37=2,Liste!P37,"")</f>
        <v>LE PECQ</v>
      </c>
      <c r="J15">
        <f>IF(I15="",0,COUNTIF(Calculateur!$E$5:$E$6,Settings!I15))</f>
        <v>0</v>
      </c>
      <c r="P15" s="66" t="s">
        <v>223</v>
      </c>
      <c r="Q15" s="66" t="s">
        <v>232</v>
      </c>
      <c r="R15" s="66">
        <f t="shared" si="0"/>
        <v>25</v>
      </c>
    </row>
    <row r="16" spans="1:18" ht="15">
      <c r="A16" t="s">
        <v>40</v>
      </c>
      <c r="C16">
        <f t="shared" ref="C16" si="23">C15+1</f>
        <v>13</v>
      </c>
      <c r="D16">
        <f t="shared" ref="D16" si="24">D15+1</f>
        <v>13</v>
      </c>
      <c r="I16" t="str">
        <f>IF(Liste!C30=2,Liste!P30,"")</f>
        <v/>
      </c>
      <c r="J16">
        <f>IF(I16="",0,COUNTIF(Calculateur!$E$5:$E$6,Settings!I16))</f>
        <v>0</v>
      </c>
      <c r="P16" s="66" t="s">
        <v>224</v>
      </c>
      <c r="Q16" s="66" t="s">
        <v>233</v>
      </c>
      <c r="R16" s="66">
        <f t="shared" si="0"/>
        <v>17</v>
      </c>
    </row>
    <row r="17" spans="1:10">
      <c r="A17" t="s">
        <v>58</v>
      </c>
      <c r="C17">
        <f t="shared" ref="C17" si="25">C16+1</f>
        <v>14</v>
      </c>
      <c r="D17">
        <f t="shared" ref="D17" si="26">D16+1</f>
        <v>14</v>
      </c>
      <c r="I17" t="str">
        <f>IF(Liste!C31=2,Liste!P31,"")</f>
        <v>VERSAILLES</v>
      </c>
      <c r="J17">
        <f>IF(I17="",0,COUNTIF(Calculateur!$E$5:$E$6,Settings!I17))</f>
        <v>0</v>
      </c>
    </row>
    <row r="18" spans="1:10">
      <c r="A18" t="s">
        <v>53</v>
      </c>
      <c r="C18">
        <f t="shared" ref="C18" si="27">C17+1</f>
        <v>15</v>
      </c>
      <c r="D18">
        <f t="shared" ref="D18" si="28">D17+1</f>
        <v>15</v>
      </c>
      <c r="I18" t="str">
        <f>IF(Liste!C10=2,Liste!P10,"")</f>
        <v/>
      </c>
      <c r="J18">
        <f>IF(I18="",0,COUNTIF(Calculateur!$E$5:$E$6,Settings!I18))</f>
        <v>0</v>
      </c>
    </row>
    <row r="19" spans="1:10">
      <c r="A19" t="s">
        <v>118</v>
      </c>
      <c r="C19">
        <f t="shared" ref="C19" si="29">C18+1</f>
        <v>16</v>
      </c>
      <c r="D19">
        <f t="shared" ref="D19" si="30">D18+1</f>
        <v>16</v>
      </c>
      <c r="I19" t="str">
        <f>IF(Liste!C11=2,Liste!P11,"")</f>
        <v>PONTAULT COMBAULT</v>
      </c>
      <c r="J19">
        <f>IF(I19="",0,COUNTIF(Calculateur!$E$5:$E$6,Settings!I19))</f>
        <v>0</v>
      </c>
    </row>
    <row r="20" spans="1:10">
      <c r="A20" t="s">
        <v>125</v>
      </c>
      <c r="C20">
        <f t="shared" ref="C20" si="31">C19+1</f>
        <v>17</v>
      </c>
      <c r="D20">
        <f t="shared" ref="D20" si="32">D19+1</f>
        <v>17</v>
      </c>
      <c r="I20" t="str">
        <f>IF(Liste!C28=2,Liste!P28,"")</f>
        <v/>
      </c>
      <c r="J20">
        <f>IF(I20="",0,COUNTIF(Calculateur!$E$5:$E$6,Settings!I20))</f>
        <v>0</v>
      </c>
    </row>
    <row r="21" spans="1:10">
      <c r="A21" t="s">
        <v>70</v>
      </c>
      <c r="C21">
        <f t="shared" ref="C21" si="33">C20+1</f>
        <v>18</v>
      </c>
      <c r="D21">
        <f t="shared" ref="D21" si="34">D20+1</f>
        <v>18</v>
      </c>
      <c r="I21" t="str">
        <f>IF(Liste!C29=2,Liste!P29,"")</f>
        <v>JOUY EN JOSAS</v>
      </c>
      <c r="J21">
        <f>IF(I21="",0,COUNTIF(Calculateur!$E$5:$E$6,Settings!I21))</f>
        <v>0</v>
      </c>
    </row>
    <row r="22" spans="1:10">
      <c r="C22">
        <f t="shared" ref="C22" si="35">C21+1</f>
        <v>19</v>
      </c>
      <c r="D22">
        <f t="shared" ref="D22" si="36">D21+1</f>
        <v>19</v>
      </c>
      <c r="I22" t="str">
        <f>IF(Liste!C8=2,Liste!P8,"")</f>
        <v/>
      </c>
      <c r="J22">
        <f>IF(I22="",0,COUNTIF(Calculateur!$E$5:$E$6,Settings!I22))</f>
        <v>0</v>
      </c>
    </row>
    <row r="23" spans="1:10">
      <c r="C23">
        <f t="shared" ref="C23" si="37">C22+1</f>
        <v>20</v>
      </c>
      <c r="D23">
        <f t="shared" ref="D23" si="38">D22+1</f>
        <v>20</v>
      </c>
      <c r="I23" t="str">
        <f>IF(Liste!C9=2,Liste!P9,"")</f>
        <v>CHAMPS SUR MARNE</v>
      </c>
      <c r="J23">
        <f>IF(I23="",0,COUNTIF(Calculateur!$E$5:$E$6,Settings!I23))</f>
        <v>0</v>
      </c>
    </row>
    <row r="24" spans="1:10">
      <c r="C24">
        <f t="shared" ref="C24" si="39">C23+1</f>
        <v>21</v>
      </c>
      <c r="D24">
        <f t="shared" ref="D24" si="40">D23+1</f>
        <v>21</v>
      </c>
      <c r="I24" t="str">
        <f>IF(Liste!C12=2,Liste!P12,"")</f>
        <v/>
      </c>
      <c r="J24">
        <f>IF(I24="",0,COUNTIF(Calculateur!$E$5:$E$6,Settings!I24))</f>
        <v>0</v>
      </c>
    </row>
    <row r="25" spans="1:10">
      <c r="C25">
        <f t="shared" ref="C25" si="41">C24+1</f>
        <v>22</v>
      </c>
      <c r="D25">
        <f t="shared" ref="D25" si="42">D24+1</f>
        <v>22</v>
      </c>
      <c r="I25" t="str">
        <f>IF(Liste!C13=2,Liste!P13,"")</f>
        <v>MONTGERON</v>
      </c>
      <c r="J25">
        <f>IF(I25="",0,COUNTIF(Calculateur!$E$5:$E$6,Settings!I25))</f>
        <v>0</v>
      </c>
    </row>
    <row r="26" spans="1:10">
      <c r="C26">
        <f t="shared" ref="C26" si="43">C25+1</f>
        <v>23</v>
      </c>
      <c r="D26">
        <f t="shared" ref="D26" si="44">D25+1</f>
        <v>23</v>
      </c>
      <c r="I26" t="str">
        <f>IF(Liste!C32=2,Liste!P32,"")</f>
        <v/>
      </c>
      <c r="J26">
        <f>IF(I26="",0,COUNTIF(Calculateur!$E$5:$E$6,Settings!I26))</f>
        <v>0</v>
      </c>
    </row>
    <row r="27" spans="1:10">
      <c r="D27">
        <f t="shared" ref="D27" si="45">D26+1</f>
        <v>24</v>
      </c>
      <c r="I27" t="str">
        <f>IF(Liste!C33=2,Liste!P33,"")</f>
        <v>VERSAILLES</v>
      </c>
      <c r="J27">
        <f>IF(I27="",0,COUNTIF(Calculateur!$E$5:$E$6,Settings!I27))</f>
        <v>0</v>
      </c>
    </row>
    <row r="28" spans="1:10">
      <c r="D28">
        <f t="shared" ref="D28:D62" si="46">D27+1</f>
        <v>25</v>
      </c>
      <c r="I28" t="str">
        <f>IF(Liste!C26=2,Liste!P26,"")</f>
        <v/>
      </c>
      <c r="J28">
        <f>IF(I28="",0,COUNTIF(Calculateur!$E$5:$E$6,Settings!I28))</f>
        <v>0</v>
      </c>
    </row>
    <row r="29" spans="1:10">
      <c r="D29">
        <f t="shared" si="46"/>
        <v>26</v>
      </c>
      <c r="I29" t="str">
        <f>IF(Liste!C27=2,Liste!P27,"")</f>
        <v>MASSY GARE</v>
      </c>
      <c r="J29">
        <f>IF(I29="",0,COUNTIF(Calculateur!$E$5:$E$6,Settings!I29))</f>
        <v>0</v>
      </c>
    </row>
    <row r="30" spans="1:10">
      <c r="D30">
        <f t="shared" si="46"/>
        <v>27</v>
      </c>
      <c r="I30" t="str">
        <f>IF(Liste!C14=2,Liste!P14,"")</f>
        <v/>
      </c>
      <c r="J30">
        <f>IF(I30="",0,COUNTIF(Calculateur!$E$5:$E$6,Settings!I30))</f>
        <v>0</v>
      </c>
    </row>
    <row r="31" spans="1:10">
      <c r="D31">
        <f t="shared" si="46"/>
        <v>28</v>
      </c>
      <c r="I31" t="str">
        <f>IF(Liste!C15=2,Liste!P15,"")</f>
        <v>VILLENEUVE SAINT GEORGES</v>
      </c>
      <c r="J31">
        <f>IF(I31="",0,COUNTIF(Calculateur!$E$5:$E$6,Settings!I31))</f>
        <v>0</v>
      </c>
    </row>
    <row r="32" spans="1:10">
      <c r="D32">
        <f t="shared" si="46"/>
        <v>29</v>
      </c>
      <c r="I32" t="str">
        <f>IF(Liste!C22=2,Liste!P22,"")</f>
        <v/>
      </c>
      <c r="J32">
        <f>IF(I32="",0,COUNTIF(Calculateur!$E$5:$E$6,Settings!I32))</f>
        <v>0</v>
      </c>
    </row>
    <row r="33" spans="4:10">
      <c r="D33">
        <f t="shared" si="46"/>
        <v>30</v>
      </c>
      <c r="I33" t="str">
        <f>IF(Liste!C23=2,Liste!P23,"")</f>
        <v>PALAISEAU</v>
      </c>
      <c r="J33">
        <f>IF(I33="",0,COUNTIF(Calculateur!$E$5:$E$6,Settings!I33))</f>
        <v>0</v>
      </c>
    </row>
    <row r="34" spans="4:10">
      <c r="D34">
        <f t="shared" si="46"/>
        <v>31</v>
      </c>
      <c r="I34" t="str">
        <f>IF(Liste!C24=2,Liste!P24,"")</f>
        <v/>
      </c>
      <c r="J34">
        <f>IF(I34="",0,COUNTIF(Calculateur!$E$5:$E$6,Settings!I34))</f>
        <v>0</v>
      </c>
    </row>
    <row r="35" spans="4:10">
      <c r="D35">
        <f t="shared" si="46"/>
        <v>32</v>
      </c>
      <c r="I35" t="str">
        <f>IF(Liste!C25=2,Liste!P25,"")</f>
        <v>BIEVRES</v>
      </c>
      <c r="J35">
        <f>IF(I35="",0,COUNTIF(Calculateur!$E$5:$E$6,Settings!I35))</f>
        <v>0</v>
      </c>
    </row>
    <row r="36" spans="4:10">
      <c r="D36">
        <f t="shared" si="46"/>
        <v>33</v>
      </c>
      <c r="I36" t="str">
        <f>IF(Liste!C18=2,Liste!P18,"")</f>
        <v/>
      </c>
      <c r="J36">
        <f>IF(I36="",0,COUNTIF(Calculateur!$E$5:$E$6,Settings!I36))</f>
        <v>0</v>
      </c>
    </row>
    <row r="37" spans="4:10">
      <c r="D37">
        <f t="shared" si="46"/>
        <v>34</v>
      </c>
      <c r="I37" t="str">
        <f>IF(Liste!C19=2,Liste!P19,"")</f>
        <v>ATHIS-MONS</v>
      </c>
      <c r="J37">
        <f>IF(I37="",0,COUNTIF(Calculateur!$E$5:$E$6,Settings!I37))</f>
        <v>0</v>
      </c>
    </row>
    <row r="38" spans="4:10">
      <c r="D38">
        <f t="shared" si="46"/>
        <v>35</v>
      </c>
      <c r="I38" t="str">
        <f>IF(Liste!C16=2,Liste!P16,"")</f>
        <v/>
      </c>
      <c r="J38">
        <f>IF(I38="",0,COUNTIF(Calculateur!$E$5:$E$6,Settings!I38))</f>
        <v>0</v>
      </c>
    </row>
    <row r="39" spans="4:10">
      <c r="D39">
        <f t="shared" si="46"/>
        <v>36</v>
      </c>
      <c r="I39" t="str">
        <f>IF(Liste!C17=2,Liste!P17,"")</f>
        <v>MONTGERON</v>
      </c>
      <c r="J39">
        <f>IF(I39="",0,COUNTIF(Calculateur!$E$5:$E$6,Settings!I39))</f>
        <v>0</v>
      </c>
    </row>
    <row r="40" spans="4:10">
      <c r="D40">
        <f t="shared" si="46"/>
        <v>37</v>
      </c>
      <c r="I40" t="str">
        <f>IF(Liste!C20=2,Liste!P20,"")</f>
        <v/>
      </c>
      <c r="J40">
        <f>IF(I40="",0,COUNTIF(Calculateur!$E$5:$E$6,Settings!I40))</f>
        <v>0</v>
      </c>
    </row>
    <row r="41" spans="4:10">
      <c r="D41">
        <f t="shared" si="46"/>
        <v>38</v>
      </c>
      <c r="I41" t="str">
        <f>IF(Liste!C21=2,Liste!P21,"")</f>
        <v>SAVIGNY SUR ORGE</v>
      </c>
      <c r="J41">
        <f>IF(I41="",0,COUNTIF(Calculateur!$E$5:$E$6,Settings!I41))</f>
        <v>0</v>
      </c>
    </row>
    <row r="42" spans="4:10">
      <c r="D42">
        <f t="shared" si="46"/>
        <v>39</v>
      </c>
      <c r="I42" t="str">
        <f>IF(Liste!C42=2,Liste!P42,"")</f>
        <v/>
      </c>
      <c r="J42">
        <f>IF(I42="",0,COUNTIF(Calculateur!$E$5:$E$6,Settings!I42))</f>
        <v>0</v>
      </c>
    </row>
    <row r="43" spans="4:10">
      <c r="D43">
        <f t="shared" si="46"/>
        <v>40</v>
      </c>
      <c r="I43" t="str">
        <f>IF(Liste!C43=2,Liste!P43,"")</f>
        <v/>
      </c>
      <c r="J43">
        <f>IF(I43="",0,COUNTIF(Calculateur!$E$5:$E$6,Settings!I43))</f>
        <v>0</v>
      </c>
    </row>
    <row r="44" spans="4:10">
      <c r="D44">
        <f t="shared" si="46"/>
        <v>41</v>
      </c>
      <c r="I44" t="str">
        <f>IF(Liste!C44=2,Liste!P44,"")</f>
        <v/>
      </c>
      <c r="J44">
        <f>IF(I44="",0,COUNTIF(Calculateur!$E$5:$E$6,Settings!I44))</f>
        <v>0</v>
      </c>
    </row>
    <row r="45" spans="4:10">
      <c r="D45">
        <f t="shared" si="46"/>
        <v>42</v>
      </c>
      <c r="I45" t="str">
        <f>IF(Liste!C45=2,Liste!P45,"")</f>
        <v/>
      </c>
      <c r="J45">
        <f>IF(I45="",0,COUNTIF(Calculateur!$E$5:$E$6,Settings!I45))</f>
        <v>0</v>
      </c>
    </row>
    <row r="46" spans="4:10">
      <c r="D46">
        <f t="shared" si="46"/>
        <v>43</v>
      </c>
      <c r="I46" t="str">
        <f>IF(Liste!C46=2,Liste!P46,"")</f>
        <v/>
      </c>
      <c r="J46">
        <f>IF(I46="",0,COUNTIF(Calculateur!$E$5:$E$6,Settings!I46))</f>
        <v>0</v>
      </c>
    </row>
    <row r="47" spans="4:10">
      <c r="D47">
        <f t="shared" si="46"/>
        <v>44</v>
      </c>
      <c r="I47" t="str">
        <f>IF(Liste!C47=2,Liste!P47,"")</f>
        <v/>
      </c>
      <c r="J47">
        <f>IF(I47="",0,COUNTIF(Calculateur!$E$5:$E$6,Settings!I47))</f>
        <v>0</v>
      </c>
    </row>
    <row r="48" spans="4:10">
      <c r="D48">
        <f t="shared" si="46"/>
        <v>45</v>
      </c>
      <c r="I48" t="str">
        <f>IF(Liste!C48=2,Liste!P48,"")</f>
        <v/>
      </c>
      <c r="J48">
        <f>IF(I48="",0,COUNTIF(Calculateur!$E$5:$E$6,Settings!I48))</f>
        <v>0</v>
      </c>
    </row>
    <row r="49" spans="4:10">
      <c r="D49">
        <f t="shared" si="46"/>
        <v>46</v>
      </c>
      <c r="I49" t="str">
        <f>IF(Liste!C49=2,Liste!P49,"")</f>
        <v/>
      </c>
      <c r="J49">
        <f>IF(I49="",0,COUNTIF(Calculateur!$E$5:$E$6,Settings!I49))</f>
        <v>0</v>
      </c>
    </row>
    <row r="50" spans="4:10">
      <c r="D50">
        <f t="shared" si="46"/>
        <v>47</v>
      </c>
      <c r="I50" t="str">
        <f>IF(Liste!C50=2,Liste!P50,"")</f>
        <v/>
      </c>
      <c r="J50">
        <f>IF(I50="",0,COUNTIF(Calculateur!$E$5:$E$6,Settings!I50))</f>
        <v>0</v>
      </c>
    </row>
    <row r="51" spans="4:10">
      <c r="D51">
        <f t="shared" si="46"/>
        <v>48</v>
      </c>
      <c r="I51" t="str">
        <f>IF(Liste!C51=2,Liste!P51,"")</f>
        <v/>
      </c>
      <c r="J51">
        <f>IF(I51="",0,COUNTIF(Calculateur!$E$5:$E$6,Settings!I51))</f>
        <v>0</v>
      </c>
    </row>
    <row r="52" spans="4:10">
      <c r="D52">
        <f t="shared" si="46"/>
        <v>49</v>
      </c>
      <c r="I52" t="str">
        <f>IF(Liste!C52=2,Liste!P52,"")</f>
        <v/>
      </c>
      <c r="J52">
        <f>IF(I52="",0,COUNTIF(Calculateur!$E$5:$E$6,Settings!I52))</f>
        <v>0</v>
      </c>
    </row>
    <row r="53" spans="4:10">
      <c r="D53">
        <f t="shared" si="46"/>
        <v>50</v>
      </c>
      <c r="I53" t="str">
        <f>IF(Liste!C53=2,Liste!P53,"")</f>
        <v/>
      </c>
      <c r="J53">
        <f>IF(I53="",0,COUNTIF(Calculateur!$E$5:$E$6,Settings!I53))</f>
        <v>0</v>
      </c>
    </row>
    <row r="54" spans="4:10">
      <c r="D54">
        <f t="shared" si="46"/>
        <v>51</v>
      </c>
      <c r="I54" t="str">
        <f>IF(Liste!C54=2,Liste!P54,"")</f>
        <v/>
      </c>
      <c r="J54">
        <f>IF(I54="",0,COUNTIF(Calculateur!$E$5:$E$6,Settings!I54))</f>
        <v>0</v>
      </c>
    </row>
    <row r="55" spans="4:10">
      <c r="D55">
        <f t="shared" si="46"/>
        <v>52</v>
      </c>
      <c r="I55" t="str">
        <f>IF(Liste!C55=2,Liste!P55,"")</f>
        <v/>
      </c>
      <c r="J55">
        <f>IF(I55="",0,COUNTIF(Calculateur!$E$5:$E$6,Settings!I55))</f>
        <v>0</v>
      </c>
    </row>
    <row r="56" spans="4:10">
      <c r="D56">
        <f t="shared" si="46"/>
        <v>53</v>
      </c>
      <c r="I56" t="str">
        <f>IF(Liste!C56=2,Liste!P56,"")</f>
        <v/>
      </c>
      <c r="J56">
        <f>IF(I56="",0,COUNTIF(Calculateur!$E$5:$E$6,Settings!I56))</f>
        <v>0</v>
      </c>
    </row>
    <row r="57" spans="4:10">
      <c r="D57">
        <f t="shared" si="46"/>
        <v>54</v>
      </c>
      <c r="I57" t="str">
        <f>IF(Liste!C57=2,Liste!P57,"")</f>
        <v/>
      </c>
      <c r="J57">
        <f>IF(I57="",0,COUNTIF(Calculateur!$E$5:$E$6,Settings!I57))</f>
        <v>0</v>
      </c>
    </row>
    <row r="58" spans="4:10">
      <c r="D58">
        <f t="shared" si="46"/>
        <v>55</v>
      </c>
      <c r="I58" t="str">
        <f>IF(Liste!C58=2,Liste!P58,"")</f>
        <v/>
      </c>
      <c r="J58">
        <f>IF(I58="",0,COUNTIF(Calculateur!$E$5:$E$6,Settings!I58))</f>
        <v>0</v>
      </c>
    </row>
    <row r="59" spans="4:10">
      <c r="D59">
        <f t="shared" si="46"/>
        <v>56</v>
      </c>
      <c r="I59" t="str">
        <f>IF(Liste!C59=2,Liste!P59,"")</f>
        <v/>
      </c>
      <c r="J59">
        <f>IF(I59="",0,COUNTIF(Calculateur!$E$5:$E$6,Settings!I59))</f>
        <v>0</v>
      </c>
    </row>
    <row r="60" spans="4:10">
      <c r="D60">
        <f t="shared" si="46"/>
        <v>57</v>
      </c>
      <c r="I60" t="str">
        <f>IF(Liste!C60=2,Liste!P60,"")</f>
        <v/>
      </c>
      <c r="J60">
        <f>IF(I60="",0,COUNTIF(Calculateur!$E$5:$E$6,Settings!I60))</f>
        <v>0</v>
      </c>
    </row>
    <row r="61" spans="4:10">
      <c r="D61">
        <f t="shared" si="46"/>
        <v>58</v>
      </c>
    </row>
    <row r="62" spans="4:10">
      <c r="D62">
        <f t="shared" si="46"/>
        <v>59</v>
      </c>
    </row>
  </sheetData>
  <sheetProtection algorithmName="SHA-512" hashValue="ClNckgVnhYy2O12QGri8UAvrN+FJPTnAxajSN96GV8Fj+rK1qJ7uMF7H21ZdG13f2T8iKcF4nvS4LzxEuxZPWQ==" saltValue="q0eCtsxPuwunTKLMT3OhaA==" spinCount="100000" sheet="1" objects="1" scenarios="1"/>
  <pageMargins left="0.7" right="0.7" top="0.75" bottom="0.75" header="0.3" footer="0.3"/>
  <tableParts count="6">
    <tablePart r:id="rId1"/>
    <tablePart r:id="rId2"/>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9BA94-7021-4A5C-ABBA-46CFED34559A}">
  <sheetPr codeName="Feuil2">
    <tabColor theme="1"/>
  </sheetPr>
  <dimension ref="A1:AG44"/>
  <sheetViews>
    <sheetView showGridLines="0" workbookViewId="0">
      <pane xSplit="1" topLeftCell="M1" activePane="topRight" state="frozen"/>
      <selection activeCell="G17" sqref="G17"/>
      <selection pane="topRight" activeCell="O16" sqref="O16:AB16"/>
    </sheetView>
  </sheetViews>
  <sheetFormatPr baseColWidth="10" defaultColWidth="11.5" defaultRowHeight="14.25"/>
  <cols>
    <col min="1" max="1" width="15.625" customWidth="1"/>
    <col min="2" max="2" width="9.375" customWidth="1"/>
    <col min="3" max="3" width="20.5" customWidth="1"/>
    <col min="4" max="4" width="8.75" customWidth="1"/>
    <col min="5" max="5" width="6.75" customWidth="1"/>
    <col min="6" max="6" width="31.875" customWidth="1"/>
    <col min="7" max="7" width="6.875" customWidth="1"/>
    <col min="8" max="8" width="5.625" customWidth="1"/>
    <col min="9" max="9" width="31.875" customWidth="1"/>
    <col min="10" max="10" width="6.875" customWidth="1"/>
    <col min="11" max="11" width="5.625" customWidth="1"/>
    <col min="12" max="12" width="31.875" customWidth="1"/>
    <col min="13" max="13" width="6.875" customWidth="1"/>
    <col min="14" max="14" width="5.625" customWidth="1"/>
    <col min="15" max="15" width="24.75" customWidth="1"/>
    <col min="16" max="16" width="6.875" customWidth="1"/>
    <col min="17" max="17" width="5.625" customWidth="1"/>
    <col min="18" max="18" width="33.5" customWidth="1"/>
    <col min="19" max="19" width="6.875" customWidth="1"/>
    <col min="20" max="20" width="5.625" customWidth="1"/>
    <col min="21" max="21" width="24.25" customWidth="1"/>
    <col min="22" max="22" width="6.875" customWidth="1"/>
    <col min="23" max="23" width="5.625" customWidth="1"/>
    <col min="24" max="24" width="26" customWidth="1"/>
    <col min="25" max="25" width="6.875" customWidth="1"/>
    <col min="26" max="26" width="5.875" customWidth="1"/>
    <col min="27" max="27" width="11.25" customWidth="1"/>
    <col min="28" max="28" width="6.875" customWidth="1"/>
    <col min="29" max="29" width="5.875" customWidth="1"/>
  </cols>
  <sheetData>
    <row r="1" spans="1:33">
      <c r="A1" t="s">
        <v>2</v>
      </c>
      <c r="B1" t="s">
        <v>199</v>
      </c>
      <c r="C1" t="s">
        <v>361</v>
      </c>
      <c r="D1" t="s">
        <v>360</v>
      </c>
      <c r="E1" t="s">
        <v>376</v>
      </c>
      <c r="F1" t="s">
        <v>235</v>
      </c>
      <c r="G1" t="s">
        <v>363</v>
      </c>
      <c r="H1" t="s">
        <v>377</v>
      </c>
      <c r="I1" t="s">
        <v>236</v>
      </c>
      <c r="J1" t="s">
        <v>362</v>
      </c>
      <c r="K1" t="s">
        <v>378</v>
      </c>
      <c r="L1" t="s">
        <v>237</v>
      </c>
      <c r="M1" t="s">
        <v>364</v>
      </c>
      <c r="N1" t="s">
        <v>379</v>
      </c>
      <c r="O1" t="s">
        <v>238</v>
      </c>
      <c r="P1" t="s">
        <v>365</v>
      </c>
      <c r="Q1" t="s">
        <v>380</v>
      </c>
      <c r="R1" t="s">
        <v>239</v>
      </c>
      <c r="S1" t="s">
        <v>366</v>
      </c>
      <c r="T1" t="s">
        <v>381</v>
      </c>
      <c r="U1" t="s">
        <v>240</v>
      </c>
      <c r="V1" t="s">
        <v>367</v>
      </c>
      <c r="W1" t="s">
        <v>382</v>
      </c>
      <c r="X1" t="s">
        <v>241</v>
      </c>
      <c r="Y1" t="s">
        <v>368</v>
      </c>
      <c r="Z1" t="s">
        <v>383</v>
      </c>
      <c r="AA1" t="s">
        <v>242</v>
      </c>
      <c r="AB1" t="s">
        <v>369</v>
      </c>
      <c r="AC1" t="s">
        <v>384</v>
      </c>
      <c r="AD1" t="s">
        <v>399</v>
      </c>
      <c r="AE1" t="s">
        <v>400</v>
      </c>
      <c r="AF1" t="s">
        <v>402</v>
      </c>
      <c r="AG1" t="s">
        <v>401</v>
      </c>
    </row>
    <row r="2" spans="1:33">
      <c r="A2" t="s">
        <v>5</v>
      </c>
      <c r="B2" t="s">
        <v>234</v>
      </c>
      <c r="C2" t="s">
        <v>273</v>
      </c>
      <c r="D2">
        <v>14</v>
      </c>
      <c r="E2">
        <v>123</v>
      </c>
      <c r="F2" t="s">
        <v>274</v>
      </c>
      <c r="G2">
        <v>30</v>
      </c>
      <c r="H2">
        <v>211</v>
      </c>
      <c r="I2" t="s">
        <v>275</v>
      </c>
      <c r="J2">
        <v>67</v>
      </c>
      <c r="K2">
        <v>585</v>
      </c>
      <c r="L2" t="s">
        <v>276</v>
      </c>
      <c r="M2">
        <v>106</v>
      </c>
      <c r="N2">
        <v>923</v>
      </c>
      <c r="O2" t="s">
        <v>277</v>
      </c>
      <c r="P2">
        <v>154</v>
      </c>
      <c r="Q2">
        <v>1313</v>
      </c>
      <c r="R2" t="s">
        <v>5</v>
      </c>
      <c r="S2">
        <v>192</v>
      </c>
      <c r="T2">
        <v>1421</v>
      </c>
      <c r="AD2">
        <f>MAX(Tableau7[[#This Row],[KM8]],Tableau7[[#This Row],[KM7]],Tableau7[[#This Row],[KM6]],Tableau7[[#This Row],[KM5]],Tableau7[[#This Row],[KM4]],Tableau7[[#This Row],[KM3]],Tableau7[[#This Row],[KM2]],Tableau7[[#This Row],[KM1]],Tableau7[[#This Row],[KM0]])</f>
        <v>192</v>
      </c>
      <c r="AE2">
        <f>MAX(Tableau7[[#This Row],[D8]],Tableau7[[#This Row],[D7]],Tableau7[[#This Row],[D6]],Tableau7[[#This Row],[D5]],Tableau7[[#This Row],[D4]],Tableau7[[#This Row],[D3]],Tableau7[[#This Row],[D2]],Tableau7[[#This Row],[D1]],Tableau7[[#This Row],[D0]])</f>
        <v>1421</v>
      </c>
      <c r="AF2">
        <f>Tableau7[[#This Row],[KM option1]]-Tableau7[[#This Row],[KM0]]</f>
        <v>178</v>
      </c>
      <c r="AG2">
        <f>Tableau7[[#This Row],[D+ option1]]-Tableau7[[#This Row],[D0]]</f>
        <v>1298</v>
      </c>
    </row>
    <row r="3" spans="1:33">
      <c r="A3" t="s">
        <v>12</v>
      </c>
      <c r="B3" t="s">
        <v>234</v>
      </c>
      <c r="C3" t="s">
        <v>253</v>
      </c>
      <c r="D3">
        <v>15</v>
      </c>
      <c r="E3">
        <v>50</v>
      </c>
      <c r="F3" t="s">
        <v>254</v>
      </c>
      <c r="G3">
        <v>54</v>
      </c>
      <c r="H3">
        <v>336</v>
      </c>
      <c r="I3" t="s">
        <v>255</v>
      </c>
      <c r="J3">
        <v>108</v>
      </c>
      <c r="K3">
        <v>880</v>
      </c>
      <c r="L3" t="s">
        <v>256</v>
      </c>
      <c r="M3">
        <v>156</v>
      </c>
      <c r="N3">
        <v>1300</v>
      </c>
      <c r="O3" t="s">
        <v>257</v>
      </c>
      <c r="P3">
        <v>216</v>
      </c>
      <c r="Q3">
        <v>1797</v>
      </c>
      <c r="R3" t="s">
        <v>258</v>
      </c>
      <c r="S3">
        <v>245</v>
      </c>
      <c r="T3">
        <v>2070</v>
      </c>
      <c r="AD3">
        <f>MAX(Tableau7[[#This Row],[KM8]],Tableau7[[#This Row],[KM7]],Tableau7[[#This Row],[KM6]],Tableau7[[#This Row],[KM5]],Tableau7[[#This Row],[KM4]],Tableau7[[#This Row],[KM3]],Tableau7[[#This Row],[KM2]],Tableau7[[#This Row],[KM1]],Tableau7[[#This Row],[KM0]])</f>
        <v>245</v>
      </c>
      <c r="AE3">
        <f>MAX(Tableau7[[#This Row],[D8]],Tableau7[[#This Row],[D7]],Tableau7[[#This Row],[D6]],Tableau7[[#This Row],[D5]],Tableau7[[#This Row],[D4]],Tableau7[[#This Row],[D3]],Tableau7[[#This Row],[D2]],Tableau7[[#This Row],[D1]],Tableau7[[#This Row],[D0]])</f>
        <v>2070</v>
      </c>
      <c r="AF3">
        <f>Tableau7[[#This Row],[KM option1]]-Tableau7[[#This Row],[KM0]]</f>
        <v>230</v>
      </c>
      <c r="AG3">
        <f>Tableau7[[#This Row],[D+ option1]]-Tableau7[[#This Row],[D0]]</f>
        <v>2020</v>
      </c>
    </row>
    <row r="4" spans="1:33">
      <c r="A4" t="s">
        <v>19</v>
      </c>
      <c r="B4" t="s">
        <v>234</v>
      </c>
      <c r="C4" t="s">
        <v>139</v>
      </c>
      <c r="D4">
        <v>16</v>
      </c>
      <c r="E4">
        <v>125</v>
      </c>
      <c r="F4" t="s">
        <v>278</v>
      </c>
      <c r="G4">
        <v>72</v>
      </c>
      <c r="H4">
        <v>656</v>
      </c>
      <c r="I4" t="s">
        <v>279</v>
      </c>
      <c r="J4">
        <v>150</v>
      </c>
      <c r="K4">
        <v>1076</v>
      </c>
      <c r="L4" t="s">
        <v>280</v>
      </c>
      <c r="M4">
        <v>197</v>
      </c>
      <c r="N4">
        <v>1530</v>
      </c>
      <c r="O4" t="s">
        <v>19</v>
      </c>
      <c r="P4">
        <v>256</v>
      </c>
      <c r="Q4">
        <v>1782</v>
      </c>
      <c r="AD4">
        <f>MAX(Tableau7[[#This Row],[KM8]],Tableau7[[#This Row],[KM7]],Tableau7[[#This Row],[KM6]],Tableau7[[#This Row],[KM5]],Tableau7[[#This Row],[KM4]],Tableau7[[#This Row],[KM3]],Tableau7[[#This Row],[KM2]],Tableau7[[#This Row],[KM1]],Tableau7[[#This Row],[KM0]])</f>
        <v>256</v>
      </c>
      <c r="AE4">
        <f>MAX(Tableau7[[#This Row],[D8]],Tableau7[[#This Row],[D7]],Tableau7[[#This Row],[D6]],Tableau7[[#This Row],[D5]],Tableau7[[#This Row],[D4]],Tableau7[[#This Row],[D3]],Tableau7[[#This Row],[D2]],Tableau7[[#This Row],[D1]],Tableau7[[#This Row],[D0]])</f>
        <v>1782</v>
      </c>
      <c r="AF4">
        <f>Tableau7[[#This Row],[KM option1]]-Tableau7[[#This Row],[KM0]]</f>
        <v>240</v>
      </c>
      <c r="AG4">
        <f>Tableau7[[#This Row],[D+ option1]]-Tableau7[[#This Row],[D0]]</f>
        <v>1657</v>
      </c>
    </row>
    <row r="5" spans="1:33">
      <c r="A5" t="s">
        <v>26</v>
      </c>
      <c r="B5" t="s">
        <v>234</v>
      </c>
      <c r="C5" t="s">
        <v>247</v>
      </c>
      <c r="D5">
        <v>15</v>
      </c>
      <c r="E5">
        <v>90</v>
      </c>
      <c r="F5" t="s">
        <v>248</v>
      </c>
      <c r="G5">
        <v>34</v>
      </c>
      <c r="H5">
        <v>262</v>
      </c>
      <c r="I5" t="s">
        <v>249</v>
      </c>
      <c r="J5">
        <v>85</v>
      </c>
      <c r="K5">
        <v>606</v>
      </c>
      <c r="L5" t="s">
        <v>250</v>
      </c>
      <c r="M5">
        <v>137</v>
      </c>
      <c r="N5">
        <v>1073</v>
      </c>
      <c r="O5" t="s">
        <v>251</v>
      </c>
      <c r="P5">
        <v>196</v>
      </c>
      <c r="Q5">
        <v>1466</v>
      </c>
      <c r="R5" t="s">
        <v>252</v>
      </c>
      <c r="S5">
        <v>238</v>
      </c>
      <c r="T5">
        <v>1617</v>
      </c>
      <c r="U5" t="s">
        <v>26</v>
      </c>
      <c r="V5">
        <v>275</v>
      </c>
      <c r="W5">
        <v>1778</v>
      </c>
      <c r="AD5">
        <f>MAX(Tableau7[[#This Row],[KM8]],Tableau7[[#This Row],[KM7]],Tableau7[[#This Row],[KM6]],Tableau7[[#This Row],[KM5]],Tableau7[[#This Row],[KM4]],Tableau7[[#This Row],[KM3]],Tableau7[[#This Row],[KM2]],Tableau7[[#This Row],[KM1]],Tableau7[[#This Row],[KM0]])</f>
        <v>275</v>
      </c>
      <c r="AE5">
        <f>MAX(Tableau7[[#This Row],[D8]],Tableau7[[#This Row],[D7]],Tableau7[[#This Row],[D6]],Tableau7[[#This Row],[D5]],Tableau7[[#This Row],[D4]],Tableau7[[#This Row],[D3]],Tableau7[[#This Row],[D2]],Tableau7[[#This Row],[D1]],Tableau7[[#This Row],[D0]])</f>
        <v>1778</v>
      </c>
      <c r="AF5">
        <f>Tableau7[[#This Row],[KM option1]]-Tableau7[[#This Row],[KM0]]</f>
        <v>260</v>
      </c>
      <c r="AG5">
        <f>Tableau7[[#This Row],[D+ option1]]-Tableau7[[#This Row],[D0]]</f>
        <v>1688</v>
      </c>
    </row>
    <row r="6" spans="1:33">
      <c r="A6" t="s">
        <v>33</v>
      </c>
      <c r="B6" t="s">
        <v>234</v>
      </c>
      <c r="C6" t="s">
        <v>140</v>
      </c>
      <c r="D6">
        <v>18</v>
      </c>
      <c r="E6">
        <v>105</v>
      </c>
      <c r="F6" t="s">
        <v>243</v>
      </c>
      <c r="G6">
        <v>23</v>
      </c>
      <c r="H6">
        <v>131</v>
      </c>
      <c r="I6" t="s">
        <v>244</v>
      </c>
      <c r="J6">
        <v>119</v>
      </c>
      <c r="K6">
        <v>872</v>
      </c>
      <c r="L6" t="s">
        <v>245</v>
      </c>
      <c r="M6">
        <v>187</v>
      </c>
      <c r="N6">
        <v>1467</v>
      </c>
      <c r="O6" t="s">
        <v>246</v>
      </c>
      <c r="P6">
        <v>238</v>
      </c>
      <c r="Q6">
        <v>1708</v>
      </c>
      <c r="R6" t="s">
        <v>33</v>
      </c>
      <c r="S6">
        <v>301</v>
      </c>
      <c r="T6">
        <v>2372</v>
      </c>
      <c r="AD6">
        <f>MAX(Tableau7[[#This Row],[KM8]],Tableau7[[#This Row],[KM7]],Tableau7[[#This Row],[KM6]],Tableau7[[#This Row],[KM5]],Tableau7[[#This Row],[KM4]],Tableau7[[#This Row],[KM3]],Tableau7[[#This Row],[KM2]],Tableau7[[#This Row],[KM1]],Tableau7[[#This Row],[KM0]])</f>
        <v>301</v>
      </c>
      <c r="AE6">
        <f>MAX(Tableau7[[#This Row],[D8]],Tableau7[[#This Row],[D7]],Tableau7[[#This Row],[D6]],Tableau7[[#This Row],[D5]],Tableau7[[#This Row],[D4]],Tableau7[[#This Row],[D3]],Tableau7[[#This Row],[D2]],Tableau7[[#This Row],[D1]],Tableau7[[#This Row],[D0]])</f>
        <v>2372</v>
      </c>
      <c r="AF6">
        <f>Tableau7[[#This Row],[KM option1]]-Tableau7[[#This Row],[KM0]]</f>
        <v>283</v>
      </c>
      <c r="AG6">
        <f>Tableau7[[#This Row],[D+ option1]]-Tableau7[[#This Row],[D0]]</f>
        <v>2267</v>
      </c>
    </row>
    <row r="7" spans="1:33">
      <c r="A7" t="s">
        <v>40</v>
      </c>
      <c r="B7" t="s">
        <v>234</v>
      </c>
      <c r="C7" t="s">
        <v>281</v>
      </c>
      <c r="D7">
        <v>17</v>
      </c>
      <c r="E7">
        <v>218</v>
      </c>
      <c r="F7" t="s">
        <v>282</v>
      </c>
      <c r="G7">
        <v>48</v>
      </c>
      <c r="H7">
        <v>480</v>
      </c>
      <c r="I7" t="s">
        <v>283</v>
      </c>
      <c r="J7">
        <v>140</v>
      </c>
      <c r="K7">
        <v>1112</v>
      </c>
      <c r="L7" t="s">
        <v>284</v>
      </c>
      <c r="M7">
        <v>215</v>
      </c>
      <c r="N7">
        <v>1916</v>
      </c>
      <c r="O7" t="s">
        <v>285</v>
      </c>
      <c r="P7">
        <v>278</v>
      </c>
      <c r="Q7">
        <v>2760</v>
      </c>
      <c r="R7" t="s">
        <v>40</v>
      </c>
      <c r="S7">
        <v>325</v>
      </c>
      <c r="T7">
        <v>3108</v>
      </c>
      <c r="AD7">
        <f>MAX(Tableau7[[#This Row],[KM8]],Tableau7[[#This Row],[KM7]],Tableau7[[#This Row],[KM6]],Tableau7[[#This Row],[KM5]],Tableau7[[#This Row],[KM4]],Tableau7[[#This Row],[KM3]],Tableau7[[#This Row],[KM2]],Tableau7[[#This Row],[KM1]],Tableau7[[#This Row],[KM0]])</f>
        <v>325</v>
      </c>
      <c r="AE7">
        <f>MAX(Tableau7[[#This Row],[D8]],Tableau7[[#This Row],[D7]],Tableau7[[#This Row],[D6]],Tableau7[[#This Row],[D5]],Tableau7[[#This Row],[D4]],Tableau7[[#This Row],[D3]],Tableau7[[#This Row],[D2]],Tableau7[[#This Row],[D1]],Tableau7[[#This Row],[D0]])</f>
        <v>3108</v>
      </c>
      <c r="AF7">
        <f>Tableau7[[#This Row],[KM option1]]-Tableau7[[#This Row],[KM0]]</f>
        <v>308</v>
      </c>
      <c r="AG7">
        <f>Tableau7[[#This Row],[D+ option1]]-Tableau7[[#This Row],[D0]]</f>
        <v>2890</v>
      </c>
    </row>
    <row r="8" spans="1:33">
      <c r="A8" t="s">
        <v>46</v>
      </c>
      <c r="B8" t="s">
        <v>234</v>
      </c>
      <c r="C8" t="s">
        <v>141</v>
      </c>
      <c r="D8">
        <v>16</v>
      </c>
      <c r="E8">
        <v>208</v>
      </c>
      <c r="F8" t="s">
        <v>286</v>
      </c>
      <c r="G8">
        <v>55</v>
      </c>
      <c r="H8">
        <v>635</v>
      </c>
      <c r="I8" t="s">
        <v>389</v>
      </c>
      <c r="J8">
        <v>109</v>
      </c>
      <c r="K8">
        <v>1043</v>
      </c>
      <c r="L8" t="s">
        <v>287</v>
      </c>
      <c r="M8">
        <v>167</v>
      </c>
      <c r="N8">
        <v>1421</v>
      </c>
      <c r="O8" t="s">
        <v>288</v>
      </c>
      <c r="P8">
        <v>241</v>
      </c>
      <c r="Q8">
        <v>2153</v>
      </c>
      <c r="R8" t="s">
        <v>289</v>
      </c>
      <c r="S8">
        <v>314</v>
      </c>
      <c r="T8">
        <v>3030</v>
      </c>
      <c r="U8" t="s">
        <v>290</v>
      </c>
      <c r="V8">
        <v>375</v>
      </c>
      <c r="W8">
        <v>3314</v>
      </c>
      <c r="X8" t="s">
        <v>46</v>
      </c>
      <c r="Y8">
        <v>406</v>
      </c>
      <c r="Z8">
        <v>3596</v>
      </c>
      <c r="AD8">
        <f>MAX(Tableau7[[#This Row],[KM8]],Tableau7[[#This Row],[KM7]],Tableau7[[#This Row],[KM6]],Tableau7[[#This Row],[KM5]],Tableau7[[#This Row],[KM4]],Tableau7[[#This Row],[KM3]],Tableau7[[#This Row],[KM2]],Tableau7[[#This Row],[KM1]],Tableau7[[#This Row],[KM0]])</f>
        <v>406</v>
      </c>
      <c r="AE8">
        <f>MAX(Tableau7[[#This Row],[D8]],Tableau7[[#This Row],[D7]],Tableau7[[#This Row],[D6]],Tableau7[[#This Row],[D5]],Tableau7[[#This Row],[D4]],Tableau7[[#This Row],[D3]],Tableau7[[#This Row],[D2]],Tableau7[[#This Row],[D1]],Tableau7[[#This Row],[D0]])</f>
        <v>3596</v>
      </c>
      <c r="AF8">
        <f>Tableau7[[#This Row],[KM option1]]-Tableau7[[#This Row],[KM0]]</f>
        <v>390</v>
      </c>
      <c r="AG8">
        <f>Tableau7[[#This Row],[D+ option1]]-Tableau7[[#This Row],[D0]]</f>
        <v>3388</v>
      </c>
    </row>
    <row r="9" spans="1:33">
      <c r="A9" t="s">
        <v>53</v>
      </c>
      <c r="B9" t="s">
        <v>234</v>
      </c>
      <c r="C9" t="s">
        <v>142</v>
      </c>
      <c r="D9">
        <v>10</v>
      </c>
      <c r="E9">
        <v>159</v>
      </c>
      <c r="F9" t="s">
        <v>291</v>
      </c>
      <c r="G9">
        <v>33</v>
      </c>
      <c r="H9">
        <v>386</v>
      </c>
      <c r="I9" t="s">
        <v>292</v>
      </c>
      <c r="J9">
        <v>101</v>
      </c>
      <c r="K9">
        <v>767</v>
      </c>
      <c r="L9" t="s">
        <v>293</v>
      </c>
      <c r="M9">
        <v>166</v>
      </c>
      <c r="N9">
        <v>1142</v>
      </c>
      <c r="O9" t="s">
        <v>294</v>
      </c>
      <c r="P9">
        <v>271</v>
      </c>
      <c r="Q9">
        <v>1715</v>
      </c>
      <c r="R9" t="s">
        <v>295</v>
      </c>
      <c r="S9">
        <v>364</v>
      </c>
      <c r="T9">
        <v>2201</v>
      </c>
      <c r="U9" t="s">
        <v>53</v>
      </c>
      <c r="V9">
        <v>431</v>
      </c>
      <c r="W9">
        <v>2482</v>
      </c>
      <c r="AD9">
        <f>MAX(Tableau7[[#This Row],[KM8]],Tableau7[[#This Row],[KM7]],Tableau7[[#This Row],[KM6]],Tableau7[[#This Row],[KM5]],Tableau7[[#This Row],[KM4]],Tableau7[[#This Row],[KM3]],Tableau7[[#This Row],[KM2]],Tableau7[[#This Row],[KM1]],Tableau7[[#This Row],[KM0]])</f>
        <v>431</v>
      </c>
      <c r="AE9">
        <f>MAX(Tableau7[[#This Row],[D8]],Tableau7[[#This Row],[D7]],Tableau7[[#This Row],[D6]],Tableau7[[#This Row],[D5]],Tableau7[[#This Row],[D4]],Tableau7[[#This Row],[D3]],Tableau7[[#This Row],[D2]],Tableau7[[#This Row],[D1]],Tableau7[[#This Row],[D0]])</f>
        <v>2482</v>
      </c>
      <c r="AF9">
        <f>Tableau7[[#This Row],[KM option1]]-Tableau7[[#This Row],[KM0]]</f>
        <v>421</v>
      </c>
      <c r="AG9">
        <f>Tableau7[[#This Row],[D+ option1]]-Tableau7[[#This Row],[D0]]</f>
        <v>2323</v>
      </c>
    </row>
    <row r="10" spans="1:33">
      <c r="A10" t="s">
        <v>58</v>
      </c>
      <c r="B10" t="s">
        <v>234</v>
      </c>
      <c r="C10" t="s">
        <v>296</v>
      </c>
      <c r="D10">
        <v>19</v>
      </c>
      <c r="E10">
        <v>151</v>
      </c>
      <c r="F10" t="s">
        <v>297</v>
      </c>
      <c r="G10">
        <v>35</v>
      </c>
      <c r="H10">
        <v>205</v>
      </c>
      <c r="I10" t="s">
        <v>298</v>
      </c>
      <c r="J10">
        <v>94</v>
      </c>
      <c r="K10">
        <v>575</v>
      </c>
      <c r="L10" t="s">
        <v>299</v>
      </c>
      <c r="M10">
        <v>207</v>
      </c>
      <c r="N10">
        <v>1579</v>
      </c>
      <c r="O10" t="s">
        <v>300</v>
      </c>
      <c r="P10">
        <v>333</v>
      </c>
      <c r="Q10">
        <v>2910</v>
      </c>
      <c r="R10" t="s">
        <v>301</v>
      </c>
      <c r="S10">
        <v>415</v>
      </c>
      <c r="T10">
        <v>3902</v>
      </c>
      <c r="U10" t="s">
        <v>58</v>
      </c>
      <c r="V10">
        <v>465</v>
      </c>
      <c r="W10">
        <v>4458</v>
      </c>
      <c r="AD10">
        <f>MAX(Tableau7[[#This Row],[KM8]],Tableau7[[#This Row],[KM7]],Tableau7[[#This Row],[KM6]],Tableau7[[#This Row],[KM5]],Tableau7[[#This Row],[KM4]],Tableau7[[#This Row],[KM3]],Tableau7[[#This Row],[KM2]],Tableau7[[#This Row],[KM1]],Tableau7[[#This Row],[KM0]])</f>
        <v>465</v>
      </c>
      <c r="AE10">
        <f>MAX(Tableau7[[#This Row],[D8]],Tableau7[[#This Row],[D7]],Tableau7[[#This Row],[D6]],Tableau7[[#This Row],[D5]],Tableau7[[#This Row],[D4]],Tableau7[[#This Row],[D3]],Tableau7[[#This Row],[D2]],Tableau7[[#This Row],[D1]],Tableau7[[#This Row],[D0]])</f>
        <v>4458</v>
      </c>
      <c r="AF10">
        <f>Tableau7[[#This Row],[KM option1]]-Tableau7[[#This Row],[KM0]]</f>
        <v>446</v>
      </c>
      <c r="AG10">
        <f>Tableau7[[#This Row],[D+ option1]]-Tableau7[[#This Row],[D0]]</f>
        <v>4307</v>
      </c>
    </row>
    <row r="11" spans="1:33">
      <c r="A11" t="s">
        <v>65</v>
      </c>
      <c r="B11" t="s">
        <v>234</v>
      </c>
      <c r="C11" t="s">
        <v>302</v>
      </c>
      <c r="D11">
        <v>16</v>
      </c>
      <c r="E11">
        <v>257</v>
      </c>
      <c r="F11" t="s">
        <v>303</v>
      </c>
      <c r="G11">
        <v>56</v>
      </c>
      <c r="H11">
        <v>687</v>
      </c>
      <c r="I11" t="s">
        <v>304</v>
      </c>
      <c r="J11">
        <v>157</v>
      </c>
      <c r="K11">
        <v>1203</v>
      </c>
      <c r="L11" t="s">
        <v>305</v>
      </c>
      <c r="M11">
        <v>267</v>
      </c>
      <c r="N11">
        <v>1991</v>
      </c>
      <c r="O11" t="s">
        <v>306</v>
      </c>
      <c r="P11">
        <v>385</v>
      </c>
      <c r="Q11">
        <v>2939</v>
      </c>
      <c r="R11" t="s">
        <v>307</v>
      </c>
      <c r="S11">
        <v>440</v>
      </c>
      <c r="T11">
        <v>3387</v>
      </c>
      <c r="U11" t="s">
        <v>65</v>
      </c>
      <c r="V11">
        <v>488</v>
      </c>
      <c r="W11">
        <v>3581</v>
      </c>
      <c r="AD11">
        <f>MAX(Tableau7[[#This Row],[KM8]],Tableau7[[#This Row],[KM7]],Tableau7[[#This Row],[KM6]],Tableau7[[#This Row],[KM5]],Tableau7[[#This Row],[KM4]],Tableau7[[#This Row],[KM3]],Tableau7[[#This Row],[KM2]],Tableau7[[#This Row],[KM1]],Tableau7[[#This Row],[KM0]])</f>
        <v>488</v>
      </c>
      <c r="AE11">
        <f>MAX(Tableau7[[#This Row],[D8]],Tableau7[[#This Row],[D7]],Tableau7[[#This Row],[D6]],Tableau7[[#This Row],[D5]],Tableau7[[#This Row],[D4]],Tableau7[[#This Row],[D3]],Tableau7[[#This Row],[D2]],Tableau7[[#This Row],[D1]],Tableau7[[#This Row],[D0]])</f>
        <v>3581</v>
      </c>
      <c r="AF11">
        <f>Tableau7[[#This Row],[KM option1]]-Tableau7[[#This Row],[KM0]]</f>
        <v>472</v>
      </c>
      <c r="AG11">
        <f>Tableau7[[#This Row],[D+ option1]]-Tableau7[[#This Row],[D0]]</f>
        <v>3324</v>
      </c>
    </row>
    <row r="12" spans="1:33">
      <c r="A12" t="s">
        <v>70</v>
      </c>
      <c r="B12" t="s">
        <v>234</v>
      </c>
      <c r="C12" t="s">
        <v>259</v>
      </c>
      <c r="D12">
        <v>15</v>
      </c>
      <c r="E12">
        <v>118</v>
      </c>
      <c r="F12" t="s">
        <v>260</v>
      </c>
      <c r="G12">
        <v>50</v>
      </c>
      <c r="H12">
        <v>427</v>
      </c>
      <c r="I12" t="s">
        <v>261</v>
      </c>
      <c r="J12">
        <v>129</v>
      </c>
      <c r="K12">
        <v>929</v>
      </c>
      <c r="L12" t="s">
        <v>262</v>
      </c>
      <c r="M12">
        <v>222</v>
      </c>
      <c r="N12">
        <v>1454</v>
      </c>
      <c r="O12" t="s">
        <v>263</v>
      </c>
      <c r="P12">
        <v>326</v>
      </c>
      <c r="Q12">
        <v>2771</v>
      </c>
      <c r="R12" t="s">
        <v>264</v>
      </c>
      <c r="S12">
        <v>419</v>
      </c>
      <c r="T12">
        <v>4060</v>
      </c>
      <c r="U12" t="s">
        <v>70</v>
      </c>
      <c r="V12">
        <v>491</v>
      </c>
      <c r="W12">
        <v>4623</v>
      </c>
      <c r="AD12">
        <f>MAX(Tableau7[[#This Row],[KM8]],Tableau7[[#This Row],[KM7]],Tableau7[[#This Row],[KM6]],Tableau7[[#This Row],[KM5]],Tableau7[[#This Row],[KM4]],Tableau7[[#This Row],[KM3]],Tableau7[[#This Row],[KM2]],Tableau7[[#This Row],[KM1]],Tableau7[[#This Row],[KM0]])</f>
        <v>491</v>
      </c>
      <c r="AE12">
        <f>MAX(Tableau7[[#This Row],[D8]],Tableau7[[#This Row],[D7]],Tableau7[[#This Row],[D6]],Tableau7[[#This Row],[D5]],Tableau7[[#This Row],[D4]],Tableau7[[#This Row],[D3]],Tableau7[[#This Row],[D2]],Tableau7[[#This Row],[D1]],Tableau7[[#This Row],[D0]])</f>
        <v>4623</v>
      </c>
      <c r="AF12">
        <f>Tableau7[[#This Row],[KM option1]]-Tableau7[[#This Row],[KM0]]</f>
        <v>476</v>
      </c>
      <c r="AG12">
        <f>Tableau7[[#This Row],[D+ option1]]-Tableau7[[#This Row],[D0]]</f>
        <v>4505</v>
      </c>
    </row>
    <row r="13" spans="1:33">
      <c r="A13" t="s">
        <v>77</v>
      </c>
      <c r="B13" t="s">
        <v>234</v>
      </c>
      <c r="C13" t="s">
        <v>143</v>
      </c>
      <c r="D13">
        <v>16</v>
      </c>
      <c r="E13">
        <v>38</v>
      </c>
      <c r="F13" t="s">
        <v>308</v>
      </c>
      <c r="G13">
        <v>55</v>
      </c>
      <c r="H13">
        <v>200</v>
      </c>
      <c r="I13" t="s">
        <v>309</v>
      </c>
      <c r="J13">
        <v>138</v>
      </c>
      <c r="K13">
        <v>708</v>
      </c>
      <c r="L13" t="s">
        <v>310</v>
      </c>
      <c r="M13">
        <v>221</v>
      </c>
      <c r="N13">
        <v>1370</v>
      </c>
      <c r="O13" t="s">
        <v>311</v>
      </c>
      <c r="P13">
        <v>348</v>
      </c>
      <c r="Q13">
        <v>2722</v>
      </c>
      <c r="R13" t="s">
        <v>312</v>
      </c>
      <c r="S13">
        <v>430</v>
      </c>
      <c r="T13">
        <v>3147</v>
      </c>
      <c r="U13" t="s">
        <v>313</v>
      </c>
      <c r="V13">
        <v>538</v>
      </c>
      <c r="W13">
        <v>5399</v>
      </c>
      <c r="X13" t="s">
        <v>314</v>
      </c>
      <c r="Y13">
        <v>584</v>
      </c>
      <c r="Z13">
        <v>5702</v>
      </c>
      <c r="AD13">
        <f>MAX(Tableau7[[#This Row],[KM8]],Tableau7[[#This Row],[KM7]],Tableau7[[#This Row],[KM6]],Tableau7[[#This Row],[KM5]],Tableau7[[#This Row],[KM4]],Tableau7[[#This Row],[KM3]],Tableau7[[#This Row],[KM2]],Tableau7[[#This Row],[KM1]],Tableau7[[#This Row],[KM0]])</f>
        <v>584</v>
      </c>
      <c r="AE13">
        <f>MAX(Tableau7[[#This Row],[D8]],Tableau7[[#This Row],[D7]],Tableau7[[#This Row],[D6]],Tableau7[[#This Row],[D5]],Tableau7[[#This Row],[D4]],Tableau7[[#This Row],[D3]],Tableau7[[#This Row],[D2]],Tableau7[[#This Row],[D1]],Tableau7[[#This Row],[D0]])</f>
        <v>5702</v>
      </c>
      <c r="AF13">
        <f>Tableau7[[#This Row],[KM option1]]-Tableau7[[#This Row],[KM0]]</f>
        <v>568</v>
      </c>
      <c r="AG13">
        <f>Tableau7[[#This Row],[D+ option1]]-Tableau7[[#This Row],[D0]]</f>
        <v>5664</v>
      </c>
    </row>
    <row r="14" spans="1:33">
      <c r="A14" t="s">
        <v>84</v>
      </c>
      <c r="B14" t="s">
        <v>234</v>
      </c>
      <c r="C14" t="s">
        <v>142</v>
      </c>
      <c r="D14">
        <v>12</v>
      </c>
      <c r="E14">
        <v>196</v>
      </c>
      <c r="F14" t="s">
        <v>315</v>
      </c>
      <c r="G14">
        <v>44</v>
      </c>
      <c r="H14">
        <v>459</v>
      </c>
      <c r="I14" t="s">
        <v>316</v>
      </c>
      <c r="J14">
        <v>145</v>
      </c>
      <c r="K14">
        <v>1150</v>
      </c>
      <c r="L14" t="s">
        <v>317</v>
      </c>
      <c r="M14">
        <v>226</v>
      </c>
      <c r="N14">
        <v>1918</v>
      </c>
      <c r="O14" t="s">
        <v>318</v>
      </c>
      <c r="P14">
        <v>316</v>
      </c>
      <c r="Q14">
        <v>2687</v>
      </c>
      <c r="R14" t="s">
        <v>319</v>
      </c>
      <c r="S14">
        <v>398</v>
      </c>
      <c r="T14">
        <v>3356</v>
      </c>
      <c r="U14" t="s">
        <v>320</v>
      </c>
      <c r="V14">
        <v>515</v>
      </c>
      <c r="W14">
        <v>4500</v>
      </c>
      <c r="X14" t="s">
        <v>321</v>
      </c>
      <c r="Y14">
        <v>593</v>
      </c>
      <c r="Z14">
        <v>5300</v>
      </c>
      <c r="AA14" t="s">
        <v>84</v>
      </c>
      <c r="AB14">
        <v>616</v>
      </c>
      <c r="AC14">
        <v>5607</v>
      </c>
      <c r="AD14">
        <f>MAX(Tableau7[[#This Row],[KM8]],Tableau7[[#This Row],[KM7]],Tableau7[[#This Row],[KM6]],Tableau7[[#This Row],[KM5]],Tableau7[[#This Row],[KM4]],Tableau7[[#This Row],[KM3]],Tableau7[[#This Row],[KM2]],Tableau7[[#This Row],[KM1]],Tableau7[[#This Row],[KM0]])</f>
        <v>616</v>
      </c>
      <c r="AE14">
        <f>MAX(Tableau7[[#This Row],[D8]],Tableau7[[#This Row],[D7]],Tableau7[[#This Row],[D6]],Tableau7[[#This Row],[D5]],Tableau7[[#This Row],[D4]],Tableau7[[#This Row],[D3]],Tableau7[[#This Row],[D2]],Tableau7[[#This Row],[D1]],Tableau7[[#This Row],[D0]])</f>
        <v>5607</v>
      </c>
      <c r="AF14">
        <f>Tableau7[[#This Row],[KM option1]]-Tableau7[[#This Row],[KM0]]</f>
        <v>604</v>
      </c>
      <c r="AG14">
        <f>Tableau7[[#This Row],[D+ option1]]-Tableau7[[#This Row],[D0]]</f>
        <v>5411</v>
      </c>
    </row>
    <row r="15" spans="1:33">
      <c r="A15" t="s">
        <v>90</v>
      </c>
      <c r="B15" t="s">
        <v>234</v>
      </c>
      <c r="C15" t="s">
        <v>322</v>
      </c>
      <c r="D15">
        <v>14</v>
      </c>
      <c r="E15">
        <v>102</v>
      </c>
      <c r="F15" t="s">
        <v>323</v>
      </c>
      <c r="G15">
        <v>78</v>
      </c>
      <c r="H15">
        <v>661</v>
      </c>
      <c r="I15" t="s">
        <v>324</v>
      </c>
      <c r="J15">
        <v>164</v>
      </c>
      <c r="K15">
        <v>950</v>
      </c>
      <c r="L15" t="s">
        <v>325</v>
      </c>
      <c r="M15">
        <v>274</v>
      </c>
      <c r="N15">
        <v>1475</v>
      </c>
      <c r="O15" t="s">
        <v>326</v>
      </c>
      <c r="P15">
        <v>402</v>
      </c>
      <c r="Q15">
        <v>2456</v>
      </c>
      <c r="R15" t="s">
        <v>327</v>
      </c>
      <c r="S15">
        <v>484</v>
      </c>
      <c r="T15">
        <v>3134</v>
      </c>
      <c r="U15" t="s">
        <v>328</v>
      </c>
      <c r="V15">
        <v>613</v>
      </c>
      <c r="W15">
        <v>4187</v>
      </c>
      <c r="X15" t="s">
        <v>90</v>
      </c>
      <c r="Y15">
        <v>659</v>
      </c>
      <c r="Z15">
        <v>4437</v>
      </c>
      <c r="AD15">
        <f>MAX(Tableau7[[#This Row],[KM8]],Tableau7[[#This Row],[KM7]],Tableau7[[#This Row],[KM6]],Tableau7[[#This Row],[KM5]],Tableau7[[#This Row],[KM4]],Tableau7[[#This Row],[KM3]],Tableau7[[#This Row],[KM2]],Tableau7[[#This Row],[KM1]],Tableau7[[#This Row],[KM0]])</f>
        <v>659</v>
      </c>
      <c r="AE15">
        <f>MAX(Tableau7[[#This Row],[D8]],Tableau7[[#This Row],[D7]],Tableau7[[#This Row],[D6]],Tableau7[[#This Row],[D5]],Tableau7[[#This Row],[D4]],Tableau7[[#This Row],[D3]],Tableau7[[#This Row],[D2]],Tableau7[[#This Row],[D1]],Tableau7[[#This Row],[D0]])</f>
        <v>4437</v>
      </c>
      <c r="AF15">
        <f>Tableau7[[#This Row],[KM option1]]-Tableau7[[#This Row],[KM0]]</f>
        <v>645</v>
      </c>
      <c r="AG15">
        <f>Tableau7[[#This Row],[D+ option1]]-Tableau7[[#This Row],[D0]]</f>
        <v>4335</v>
      </c>
    </row>
    <row r="16" spans="1:33">
      <c r="A16" t="s">
        <v>96</v>
      </c>
      <c r="B16" t="s">
        <v>234</v>
      </c>
      <c r="C16" t="s">
        <v>390</v>
      </c>
      <c r="D16">
        <v>12</v>
      </c>
      <c r="E16">
        <v>32</v>
      </c>
      <c r="F16" t="s">
        <v>391</v>
      </c>
      <c r="G16">
        <v>105</v>
      </c>
      <c r="H16">
        <v>568</v>
      </c>
      <c r="I16" t="s">
        <v>329</v>
      </c>
      <c r="J16">
        <v>236</v>
      </c>
      <c r="K16">
        <v>1712</v>
      </c>
      <c r="L16" t="s">
        <v>330</v>
      </c>
      <c r="M16">
        <v>337</v>
      </c>
      <c r="N16">
        <v>3092</v>
      </c>
      <c r="O16" t="s">
        <v>331</v>
      </c>
      <c r="P16">
        <v>464</v>
      </c>
      <c r="Q16">
        <v>4483</v>
      </c>
      <c r="R16" t="s">
        <v>332</v>
      </c>
      <c r="S16">
        <v>532</v>
      </c>
      <c r="T16">
        <v>4803</v>
      </c>
      <c r="U16" t="s">
        <v>333</v>
      </c>
      <c r="V16">
        <v>615</v>
      </c>
      <c r="W16">
        <v>5515</v>
      </c>
      <c r="X16" t="s">
        <v>334</v>
      </c>
      <c r="Y16">
        <v>710</v>
      </c>
      <c r="Z16">
        <v>6521</v>
      </c>
      <c r="AA16" t="s">
        <v>96</v>
      </c>
      <c r="AB16">
        <v>784</v>
      </c>
      <c r="AC16">
        <v>8861</v>
      </c>
      <c r="AD16">
        <f>MAX(Tableau7[[#This Row],[KM8]],Tableau7[[#This Row],[KM7]],Tableau7[[#This Row],[KM6]],Tableau7[[#This Row],[KM5]],Tableau7[[#This Row],[KM4]],Tableau7[[#This Row],[KM3]],Tableau7[[#This Row],[KM2]],Tableau7[[#This Row],[KM1]],Tableau7[[#This Row],[KM0]])</f>
        <v>784</v>
      </c>
      <c r="AE16">
        <f>MAX(Tableau7[[#This Row],[D8]],Tableau7[[#This Row],[D7]],Tableau7[[#This Row],[D6]],Tableau7[[#This Row],[D5]],Tableau7[[#This Row],[D4]],Tableau7[[#This Row],[D3]],Tableau7[[#This Row],[D2]],Tableau7[[#This Row],[D1]],Tableau7[[#This Row],[D0]])</f>
        <v>8861</v>
      </c>
      <c r="AF16">
        <f>Tableau7[[#This Row],[KM option1]]-Tableau7[[#This Row],[KM0]]</f>
        <v>772</v>
      </c>
      <c r="AG16">
        <f>Tableau7[[#This Row],[D+ option1]]-Tableau7[[#This Row],[D0]]</f>
        <v>8829</v>
      </c>
    </row>
    <row r="17" spans="1:33">
      <c r="A17" t="s">
        <v>102</v>
      </c>
      <c r="B17" t="s">
        <v>234</v>
      </c>
      <c r="C17" t="s">
        <v>144</v>
      </c>
      <c r="D17">
        <v>15</v>
      </c>
      <c r="E17">
        <v>126</v>
      </c>
      <c r="F17" t="s">
        <v>335</v>
      </c>
      <c r="G17">
        <v>44</v>
      </c>
      <c r="H17">
        <v>444</v>
      </c>
      <c r="I17" t="s">
        <v>336</v>
      </c>
      <c r="J17">
        <v>184</v>
      </c>
      <c r="K17">
        <v>1152</v>
      </c>
      <c r="L17" t="s">
        <v>337</v>
      </c>
      <c r="M17">
        <v>298</v>
      </c>
      <c r="N17">
        <v>1860</v>
      </c>
      <c r="O17" t="s">
        <v>338</v>
      </c>
      <c r="P17">
        <v>414</v>
      </c>
      <c r="Q17">
        <v>3555</v>
      </c>
      <c r="R17" t="s">
        <v>339</v>
      </c>
      <c r="S17">
        <v>556</v>
      </c>
      <c r="T17">
        <v>5247</v>
      </c>
      <c r="U17" t="s">
        <v>340</v>
      </c>
      <c r="V17">
        <v>672</v>
      </c>
      <c r="W17">
        <v>6431</v>
      </c>
      <c r="X17" t="s">
        <v>341</v>
      </c>
      <c r="Y17">
        <v>818</v>
      </c>
      <c r="Z17">
        <v>7897</v>
      </c>
      <c r="AA17" t="s">
        <v>102</v>
      </c>
      <c r="AB17">
        <v>861</v>
      </c>
      <c r="AC17">
        <v>8311</v>
      </c>
      <c r="AD17">
        <f>MAX(Tableau7[[#This Row],[KM8]],Tableau7[[#This Row],[KM7]],Tableau7[[#This Row],[KM6]],Tableau7[[#This Row],[KM5]],Tableau7[[#This Row],[KM4]],Tableau7[[#This Row],[KM3]],Tableau7[[#This Row],[KM2]],Tableau7[[#This Row],[KM1]],Tableau7[[#This Row],[KM0]])</f>
        <v>861</v>
      </c>
      <c r="AE17">
        <f>MAX(Tableau7[[#This Row],[D8]],Tableau7[[#This Row],[D7]],Tableau7[[#This Row],[D6]],Tableau7[[#This Row],[D5]],Tableau7[[#This Row],[D4]],Tableau7[[#This Row],[D3]],Tableau7[[#This Row],[D2]],Tableau7[[#This Row],[D1]],Tableau7[[#This Row],[D0]])</f>
        <v>8311</v>
      </c>
      <c r="AF17">
        <f>Tableau7[[#This Row],[KM option1]]-Tableau7[[#This Row],[KM0]]</f>
        <v>846</v>
      </c>
      <c r="AG17">
        <f>Tableau7[[#This Row],[D+ option1]]-Tableau7[[#This Row],[D0]]</f>
        <v>8185</v>
      </c>
    </row>
    <row r="18" spans="1:33">
      <c r="A18" t="s">
        <v>108</v>
      </c>
      <c r="B18" t="s">
        <v>234</v>
      </c>
      <c r="C18" t="s">
        <v>145</v>
      </c>
      <c r="D18">
        <v>13</v>
      </c>
      <c r="E18">
        <v>197</v>
      </c>
      <c r="F18" t="s">
        <v>342</v>
      </c>
      <c r="G18">
        <v>49</v>
      </c>
      <c r="H18">
        <v>578</v>
      </c>
      <c r="I18" t="s">
        <v>343</v>
      </c>
      <c r="J18">
        <v>176</v>
      </c>
      <c r="K18">
        <v>941</v>
      </c>
      <c r="L18" t="s">
        <v>344</v>
      </c>
      <c r="M18">
        <v>299</v>
      </c>
      <c r="N18">
        <v>1644</v>
      </c>
      <c r="O18" t="s">
        <v>345</v>
      </c>
      <c r="P18">
        <v>414</v>
      </c>
      <c r="Q18">
        <v>2990</v>
      </c>
      <c r="R18" t="s">
        <v>346</v>
      </c>
      <c r="S18">
        <v>549</v>
      </c>
      <c r="T18">
        <v>4109</v>
      </c>
      <c r="U18" t="s">
        <v>347</v>
      </c>
      <c r="V18">
        <v>686</v>
      </c>
      <c r="W18">
        <v>5191</v>
      </c>
      <c r="X18" t="s">
        <v>348</v>
      </c>
      <c r="Y18">
        <v>857</v>
      </c>
      <c r="Z18">
        <v>6700</v>
      </c>
      <c r="AA18" t="s">
        <v>108</v>
      </c>
      <c r="AB18">
        <v>902</v>
      </c>
      <c r="AC18">
        <v>7221</v>
      </c>
      <c r="AD18">
        <f>MAX(Tableau7[[#This Row],[KM8]],Tableau7[[#This Row],[KM7]],Tableau7[[#This Row],[KM6]],Tableau7[[#This Row],[KM5]],Tableau7[[#This Row],[KM4]],Tableau7[[#This Row],[KM3]],Tableau7[[#This Row],[KM2]],Tableau7[[#This Row],[KM1]],Tableau7[[#This Row],[KM0]])</f>
        <v>902</v>
      </c>
      <c r="AE18">
        <f>MAX(Tableau7[[#This Row],[D8]],Tableau7[[#This Row],[D7]],Tableau7[[#This Row],[D6]],Tableau7[[#This Row],[D5]],Tableau7[[#This Row],[D4]],Tableau7[[#This Row],[D3]],Tableau7[[#This Row],[D2]],Tableau7[[#This Row],[D1]],Tableau7[[#This Row],[D0]])</f>
        <v>7221</v>
      </c>
      <c r="AF18">
        <f>Tableau7[[#This Row],[KM option1]]-Tableau7[[#This Row],[KM0]]</f>
        <v>889</v>
      </c>
      <c r="AG18">
        <f>Tableau7[[#This Row],[D+ option1]]-Tableau7[[#This Row],[D0]]</f>
        <v>7024</v>
      </c>
    </row>
    <row r="19" spans="1:33">
      <c r="A19" t="s">
        <v>111</v>
      </c>
      <c r="B19" t="s">
        <v>234</v>
      </c>
      <c r="C19" t="s">
        <v>146</v>
      </c>
      <c r="D19">
        <v>16</v>
      </c>
      <c r="E19">
        <v>123</v>
      </c>
      <c r="F19" t="s">
        <v>349</v>
      </c>
      <c r="G19">
        <v>47</v>
      </c>
      <c r="H19">
        <v>300</v>
      </c>
      <c r="I19" t="s">
        <v>350</v>
      </c>
      <c r="J19">
        <v>172</v>
      </c>
      <c r="K19">
        <v>1141</v>
      </c>
      <c r="L19" t="s">
        <v>351</v>
      </c>
      <c r="M19">
        <v>300</v>
      </c>
      <c r="N19">
        <v>2056</v>
      </c>
      <c r="O19" t="s">
        <v>352</v>
      </c>
      <c r="P19">
        <v>422</v>
      </c>
      <c r="Q19">
        <v>3420</v>
      </c>
      <c r="R19" t="s">
        <v>353</v>
      </c>
      <c r="S19">
        <v>556</v>
      </c>
      <c r="T19">
        <v>5320</v>
      </c>
      <c r="U19" t="s">
        <v>354</v>
      </c>
      <c r="V19">
        <v>675</v>
      </c>
      <c r="W19">
        <v>7030</v>
      </c>
      <c r="X19" t="s">
        <v>355</v>
      </c>
      <c r="Y19">
        <v>766</v>
      </c>
      <c r="Z19">
        <v>8517</v>
      </c>
      <c r="AA19" t="s">
        <v>111</v>
      </c>
      <c r="AB19">
        <v>911</v>
      </c>
      <c r="AC19">
        <v>9588</v>
      </c>
      <c r="AD19">
        <f>MAX(Tableau7[[#This Row],[KM8]],Tableau7[[#This Row],[KM7]],Tableau7[[#This Row],[KM6]],Tableau7[[#This Row],[KM5]],Tableau7[[#This Row],[KM4]],Tableau7[[#This Row],[KM3]],Tableau7[[#This Row],[KM2]],Tableau7[[#This Row],[KM1]],Tableau7[[#This Row],[KM0]])</f>
        <v>911</v>
      </c>
      <c r="AE19">
        <f>MAX(Tableau7[[#This Row],[D8]],Tableau7[[#This Row],[D7]],Tableau7[[#This Row],[D6]],Tableau7[[#This Row],[D5]],Tableau7[[#This Row],[D4]],Tableau7[[#This Row],[D3]],Tableau7[[#This Row],[D2]],Tableau7[[#This Row],[D1]],Tableau7[[#This Row],[D0]])</f>
        <v>9588</v>
      </c>
      <c r="AF19">
        <f>Tableau7[[#This Row],[KM option1]]-Tableau7[[#This Row],[KM0]]</f>
        <v>895</v>
      </c>
      <c r="AG19">
        <f>Tableau7[[#This Row],[D+ option1]]-Tableau7[[#This Row],[D0]]</f>
        <v>9465</v>
      </c>
    </row>
    <row r="20" spans="1:33">
      <c r="A20" t="s">
        <v>118</v>
      </c>
      <c r="B20" t="s">
        <v>234</v>
      </c>
      <c r="C20" t="s">
        <v>143</v>
      </c>
      <c r="D20">
        <v>17</v>
      </c>
      <c r="E20">
        <v>42</v>
      </c>
      <c r="F20" t="s">
        <v>392</v>
      </c>
      <c r="G20">
        <v>148</v>
      </c>
      <c r="H20">
        <v>739</v>
      </c>
      <c r="I20" t="s">
        <v>356</v>
      </c>
      <c r="J20">
        <v>286</v>
      </c>
      <c r="K20">
        <v>1941</v>
      </c>
      <c r="L20" t="s">
        <v>357</v>
      </c>
      <c r="M20">
        <v>419</v>
      </c>
      <c r="N20">
        <v>2403</v>
      </c>
      <c r="O20" t="s">
        <v>393</v>
      </c>
      <c r="P20">
        <v>581</v>
      </c>
      <c r="Q20">
        <v>4301</v>
      </c>
      <c r="R20" t="s">
        <v>358</v>
      </c>
      <c r="S20">
        <v>682</v>
      </c>
      <c r="T20">
        <v>5612</v>
      </c>
      <c r="U20" t="s">
        <v>394</v>
      </c>
      <c r="V20">
        <v>828</v>
      </c>
      <c r="W20">
        <v>7482</v>
      </c>
      <c r="X20" t="s">
        <v>359</v>
      </c>
      <c r="Y20">
        <v>881</v>
      </c>
      <c r="Z20">
        <v>8362</v>
      </c>
      <c r="AA20" t="s">
        <v>118</v>
      </c>
      <c r="AB20">
        <v>1025</v>
      </c>
      <c r="AC20">
        <v>10468</v>
      </c>
      <c r="AD20">
        <f>MAX(Tableau7[[#This Row],[KM8]],Tableau7[[#This Row],[KM7]],Tableau7[[#This Row],[KM6]],Tableau7[[#This Row],[KM5]],Tableau7[[#This Row],[KM4]],Tableau7[[#This Row],[KM3]],Tableau7[[#This Row],[KM2]],Tableau7[[#This Row],[KM1]],Tableau7[[#This Row],[KM0]])</f>
        <v>1025</v>
      </c>
      <c r="AE20">
        <f>MAX(Tableau7[[#This Row],[D8]],Tableau7[[#This Row],[D7]],Tableau7[[#This Row],[D6]],Tableau7[[#This Row],[D5]],Tableau7[[#This Row],[D4]],Tableau7[[#This Row],[D3]],Tableau7[[#This Row],[D2]],Tableau7[[#This Row],[D1]],Tableau7[[#This Row],[D0]])</f>
        <v>10468</v>
      </c>
      <c r="AF20">
        <f>Tableau7[[#This Row],[KM option1]]-Tableau7[[#This Row],[KM0]]</f>
        <v>1008</v>
      </c>
      <c r="AG20">
        <f>Tableau7[[#This Row],[D+ option1]]-Tableau7[[#This Row],[D0]]</f>
        <v>10426</v>
      </c>
    </row>
    <row r="21" spans="1:33">
      <c r="A21" t="s">
        <v>125</v>
      </c>
      <c r="B21" t="s">
        <v>234</v>
      </c>
      <c r="C21" t="s">
        <v>265</v>
      </c>
      <c r="D21">
        <v>19</v>
      </c>
      <c r="E21">
        <v>110</v>
      </c>
      <c r="F21" t="s">
        <v>266</v>
      </c>
      <c r="G21">
        <v>57</v>
      </c>
      <c r="H21">
        <v>332</v>
      </c>
      <c r="I21" t="s">
        <v>267</v>
      </c>
      <c r="J21">
        <v>212</v>
      </c>
      <c r="K21">
        <v>1181</v>
      </c>
      <c r="L21" t="s">
        <v>268</v>
      </c>
      <c r="M21">
        <v>349</v>
      </c>
      <c r="N21">
        <v>2246</v>
      </c>
      <c r="O21" t="s">
        <v>269</v>
      </c>
      <c r="P21">
        <v>493</v>
      </c>
      <c r="Q21">
        <v>4883</v>
      </c>
      <c r="R21" t="s">
        <v>270</v>
      </c>
      <c r="S21">
        <v>658</v>
      </c>
      <c r="T21">
        <v>6931</v>
      </c>
      <c r="U21" t="s">
        <v>271</v>
      </c>
      <c r="V21">
        <v>805</v>
      </c>
      <c r="W21">
        <v>9541</v>
      </c>
      <c r="X21" t="s">
        <v>272</v>
      </c>
      <c r="Y21">
        <v>931</v>
      </c>
      <c r="Z21">
        <v>10833</v>
      </c>
      <c r="AA21" t="s">
        <v>125</v>
      </c>
      <c r="AB21">
        <v>983</v>
      </c>
      <c r="AC21">
        <v>11342</v>
      </c>
      <c r="AD21">
        <f>MAX(Tableau7[[#This Row],[KM8]],Tableau7[[#This Row],[KM7]],Tableau7[[#This Row],[KM6]],Tableau7[[#This Row],[KM5]],Tableau7[[#This Row],[KM4]],Tableau7[[#This Row],[KM3]],Tableau7[[#This Row],[KM2]],Tableau7[[#This Row],[KM1]],Tableau7[[#This Row],[KM0]])</f>
        <v>983</v>
      </c>
      <c r="AE21">
        <f>MAX(Tableau7[[#This Row],[D8]],Tableau7[[#This Row],[D7]],Tableau7[[#This Row],[D6]],Tableau7[[#This Row],[D5]],Tableau7[[#This Row],[D4]],Tableau7[[#This Row],[D3]],Tableau7[[#This Row],[D2]],Tableau7[[#This Row],[D1]],Tableau7[[#This Row],[D0]])</f>
        <v>11342</v>
      </c>
      <c r="AF21">
        <f>Tableau7[[#This Row],[KM option1]]-Tableau7[[#This Row],[KM0]]</f>
        <v>964</v>
      </c>
      <c r="AG21">
        <f>Tableau7[[#This Row],[D+ option1]]-Tableau7[[#This Row],[D0]]</f>
        <v>11232</v>
      </c>
    </row>
    <row r="26" spans="1:33">
      <c r="A26">
        <f>+Calculateur!E3</f>
        <v>0</v>
      </c>
      <c r="B26" t="e">
        <f>MATCH(A26,Tableau7[Flèche],0)+1</f>
        <v>#N/A</v>
      </c>
    </row>
    <row r="27" spans="1:33">
      <c r="A27">
        <f>+Calculateur!E5</f>
        <v>0</v>
      </c>
      <c r="B27">
        <f>IF(D27=1,1,IF(E27=0,3,2))</f>
        <v>3</v>
      </c>
      <c r="D27">
        <f>IFERROR(MATCH(A27,Tableau7[Départ],0),0)</f>
        <v>0</v>
      </c>
      <c r="E27">
        <f>IFERROR(MATCH(A27,Tableau7[Etape 0],0),0)</f>
        <v>0</v>
      </c>
    </row>
    <row r="28" spans="1:33">
      <c r="A28">
        <f>+Calculateur!E6</f>
        <v>0</v>
      </c>
      <c r="B28" cm="1">
        <f t="array" ref="B28">IF(E28=0,0,-INDEX(Tableau7[KM0],E28,1))+IF(D28=0,0,-INDEX(Tableau7[KM0],D28,1))</f>
        <v>0</v>
      </c>
      <c r="C28" cm="1">
        <f t="array" ref="C28">IF(E28=0,0,-INDEX(Tableau7[D0],E28,1))+IF(D28=0,0,-INDEX(Tableau7[D0],D28,1))</f>
        <v>0</v>
      </c>
      <c r="D28">
        <f>IFERROR(MATCH(A27,Tableau7[Etape 0],0),0)</f>
        <v>0</v>
      </c>
      <c r="E28">
        <f>IFERROR(MATCH(A28,Tableau7[Etape 0],0),0)</f>
        <v>0</v>
      </c>
    </row>
    <row r="29" spans="1:33">
      <c r="A29" t="s">
        <v>375</v>
      </c>
      <c r="B29">
        <f>IF(A27=A28,0,IF(COUNTIF(A27:A28,A26)=0,0,1))</f>
        <v>0</v>
      </c>
    </row>
    <row r="30" spans="1:33">
      <c r="F30" t="s">
        <v>372</v>
      </c>
      <c r="I30" t="s">
        <v>373</v>
      </c>
      <c r="L30" s="59" t="s">
        <v>374</v>
      </c>
      <c r="M30" s="59"/>
      <c r="N30" s="59"/>
      <c r="O30" t="s">
        <v>374</v>
      </c>
    </row>
    <row r="31" spans="1:33">
      <c r="A31" s="60" t="s">
        <v>195</v>
      </c>
      <c r="B31" s="60" t="s">
        <v>385</v>
      </c>
      <c r="C31" s="60" t="s">
        <v>370</v>
      </c>
      <c r="D31" s="60" t="s">
        <v>386</v>
      </c>
      <c r="E31" s="60"/>
      <c r="F31" s="60" t="s">
        <v>371</v>
      </c>
      <c r="G31" s="60" t="s">
        <v>195</v>
      </c>
      <c r="H31" s="60" t="s">
        <v>385</v>
      </c>
      <c r="I31" s="60" t="s">
        <v>371</v>
      </c>
      <c r="J31" s="60" t="s">
        <v>195</v>
      </c>
      <c r="K31" s="60" t="s">
        <v>385</v>
      </c>
      <c r="L31" s="61" t="s">
        <v>371</v>
      </c>
      <c r="M31" s="61" t="s">
        <v>195</v>
      </c>
      <c r="N31" s="61" t="s">
        <v>385</v>
      </c>
      <c r="O31" s="60" t="s">
        <v>371</v>
      </c>
      <c r="P31" s="60" t="s">
        <v>195</v>
      </c>
      <c r="Q31" s="60" t="s">
        <v>385</v>
      </c>
    </row>
    <row r="32" spans="1:33">
      <c r="A32" s="60"/>
      <c r="B32" s="60"/>
      <c r="C32" s="60" t="str">
        <f>IF(Option=1,"Départ","Etape 0")</f>
        <v>Départ</v>
      </c>
      <c r="D32" s="60" t="str">
        <f>"Etape "&amp;E32</f>
        <v>Etape 8</v>
      </c>
      <c r="E32" s="60">
        <f>COUNTA(F33:F40)-COUNTIF(F33:F40,"")</f>
        <v>8</v>
      </c>
      <c r="F32" s="60" t="e" cm="1">
        <f t="array" ref="F32">INDEX(Tableau7[#All],$B$26,MATCH($C32,Tableau7[#Headers],0))</f>
        <v>#N/A</v>
      </c>
      <c r="G32" s="60">
        <v>0</v>
      </c>
      <c r="H32" s="60">
        <v>0</v>
      </c>
      <c r="I32" s="60">
        <f t="shared" ref="I32:I40" si="0">IFERROR(VLOOKUP(RIGHT(C32,1)+1,$E$32:$F$40,2,0),0)</f>
        <v>0</v>
      </c>
      <c r="J32" s="60">
        <v>0</v>
      </c>
      <c r="K32" s="60">
        <v>0</v>
      </c>
      <c r="L32" s="61" t="str">
        <f t="shared" ref="L32:L40" si="1">IF(O32=0,"",O32)</f>
        <v/>
      </c>
      <c r="M32" s="61" t="str">
        <f t="shared" ref="M32:M40" si="2">IF(L32="","",P32)</f>
        <v/>
      </c>
      <c r="N32" s="61" t="str">
        <f t="shared" ref="N32:N40" si="3">IF(L32="","",Q32)</f>
        <v/>
      </c>
      <c r="O32" s="60" t="str">
        <f>IF($B$29=0,"",IF($A$27=$F$32,F32,IF($A$27=$I$32,I32,"")))</f>
        <v/>
      </c>
      <c r="P32" s="60" t="str">
        <f>IF($B$29=0,"",IF($A$27=$F$32,G32,IF($A$27=$I$32,J32,"")))</f>
        <v/>
      </c>
      <c r="Q32" s="60" t="str">
        <f>IF($B$29=0,"",IF($A$27=$F$32,H32,IF($A$27=$I$32,K32,"")))</f>
        <v/>
      </c>
    </row>
    <row r="33" spans="1:17">
      <c r="A33" s="60" t="str">
        <f>"KM"&amp;VALUE(RIGHT(C33,2))</f>
        <v>KM1</v>
      </c>
      <c r="B33" s="60" t="str">
        <f>"D"&amp;VALUE(RIGHT(C33,2))</f>
        <v>D1</v>
      </c>
      <c r="C33" s="60" t="s">
        <v>235</v>
      </c>
      <c r="D33" s="60" t="str">
        <f>IF(E33="","",IF(E33=$C$32,$C$32,"Etape "&amp;E33))</f>
        <v>Etape 7</v>
      </c>
      <c r="E33" s="60">
        <f>IF(E32="","",IF(E32=1,$C$32,E32-1))</f>
        <v>7</v>
      </c>
      <c r="F33" s="60" t="e" cm="1">
        <f t="array" ref="F33">INDEX(Tableau7[#All],$B$26,MATCH($C33,Tableau7[#Headers],0))</f>
        <v>#N/A</v>
      </c>
      <c r="G33" s="60" t="e" cm="1">
        <f t="array" ref="G33">INDEX(Tableau7[#All],$B$26,MATCH($A33,Tableau7[#Headers],0))+$B$28</f>
        <v>#N/A</v>
      </c>
      <c r="H33" s="60" t="e" cm="1">
        <f t="array" ref="H33">INDEX(Tableau7[#All],$B$26,MATCH($B33,Tableau7[#Headers],0))+$C$28</f>
        <v>#N/A</v>
      </c>
      <c r="I33" s="60">
        <f t="shared" si="0"/>
        <v>0</v>
      </c>
      <c r="J33" s="60" t="e">
        <f t="shared" ref="J33:J40" si="4">J32+VLOOKUP(I32,$F$32:$G$40,2,0)-VLOOKUP(I33,$F$32:$G$40,2,0)</f>
        <v>#N/A</v>
      </c>
      <c r="K33" s="60" t="e">
        <f t="shared" ref="K33:K40" si="5">K32+VLOOKUP(I32,$F$32:$H$40,3,0)-VLOOKUP(I33,$F$32:$H$40,3,0)</f>
        <v>#N/A</v>
      </c>
      <c r="L33" s="61" t="str">
        <f t="shared" si="1"/>
        <v/>
      </c>
      <c r="M33" s="61" t="str">
        <f t="shared" si="2"/>
        <v/>
      </c>
      <c r="N33" s="61" t="str">
        <f t="shared" si="3"/>
        <v/>
      </c>
      <c r="O33" s="60" t="str">
        <f t="shared" ref="O33:O40" si="6">IF($B$29=0,"",IF($A$27=$F$32,F33,IF($A$27=$I$32,I33,"")))</f>
        <v/>
      </c>
      <c r="P33" s="60" t="str">
        <f t="shared" ref="P33:P40" si="7">IF($B$29=0,"",IF($A$27=$F$32,G33,IF($A$27=$I$32,J33,"")))</f>
        <v/>
      </c>
      <c r="Q33" s="60" t="str">
        <f t="shared" ref="Q33:Q40" si="8">IF($B$29=0,"",IF($A$27=$F$32,H33,IF($A$27=$I$32,K33,"")))</f>
        <v/>
      </c>
    </row>
    <row r="34" spans="1:17">
      <c r="A34" s="60" t="str">
        <f t="shared" ref="A34:A40" si="9">"KM"&amp;VALUE(RIGHT(C34,2))</f>
        <v>KM2</v>
      </c>
      <c r="B34" s="60" t="str">
        <f t="shared" ref="B34:B40" si="10">"D"&amp;VALUE(RIGHT(C34,2))</f>
        <v>D2</v>
      </c>
      <c r="C34" s="60" t="s">
        <v>236</v>
      </c>
      <c r="D34" s="60" t="str">
        <f t="shared" ref="D34:D40" si="11">IF(E34="","",IF(E34=$C$32,$C$32,"Etape "&amp;E34))</f>
        <v>Etape 6</v>
      </c>
      <c r="E34" s="60">
        <f t="shared" ref="E34:E40" si="12">IF(E33="","",IF(E33=1,$C$32,E33-1))</f>
        <v>6</v>
      </c>
      <c r="F34" s="60" t="e" cm="1">
        <f t="array" ref="F34">INDEX(Tableau7[#All],$B$26,MATCH($C34,Tableau7[#Headers],0))</f>
        <v>#N/A</v>
      </c>
      <c r="G34" s="60" t="e" cm="1">
        <f t="array" ref="G34">INDEX(Tableau7[#All],$B$26,MATCH($A34,Tableau7[#Headers],0))+$B$28</f>
        <v>#N/A</v>
      </c>
      <c r="H34" s="60" t="e" cm="1">
        <f t="array" ref="H34">INDEX(Tableau7[#All],$B$26,MATCH($B34,Tableau7[#Headers],0))+$C$28</f>
        <v>#N/A</v>
      </c>
      <c r="I34" s="60">
        <f t="shared" si="0"/>
        <v>0</v>
      </c>
      <c r="J34" s="60" t="e">
        <f t="shared" si="4"/>
        <v>#N/A</v>
      </c>
      <c r="K34" s="60" t="e">
        <f t="shared" si="5"/>
        <v>#N/A</v>
      </c>
      <c r="L34" s="61" t="str">
        <f t="shared" si="1"/>
        <v/>
      </c>
      <c r="M34" s="61" t="str">
        <f t="shared" si="2"/>
        <v/>
      </c>
      <c r="N34" s="61" t="str">
        <f t="shared" si="3"/>
        <v/>
      </c>
      <c r="O34" s="60" t="str">
        <f t="shared" si="6"/>
        <v/>
      </c>
      <c r="P34" s="60" t="str">
        <f t="shared" si="7"/>
        <v/>
      </c>
      <c r="Q34" s="60" t="str">
        <f t="shared" si="8"/>
        <v/>
      </c>
    </row>
    <row r="35" spans="1:17">
      <c r="A35" s="60" t="str">
        <f t="shared" si="9"/>
        <v>KM3</v>
      </c>
      <c r="B35" s="60" t="str">
        <f t="shared" si="10"/>
        <v>D3</v>
      </c>
      <c r="C35" s="60" t="s">
        <v>237</v>
      </c>
      <c r="D35" s="60" t="str">
        <f t="shared" si="11"/>
        <v>Etape 5</v>
      </c>
      <c r="E35" s="60">
        <f t="shared" si="12"/>
        <v>5</v>
      </c>
      <c r="F35" s="60" t="e" cm="1">
        <f t="array" ref="F35">INDEX(Tableau7[#All],$B$26,MATCH($C35,Tableau7[#Headers],0))</f>
        <v>#N/A</v>
      </c>
      <c r="G35" s="60" t="e" cm="1">
        <f t="array" ref="G35">INDEX(Tableau7[#All],$B$26,MATCH($A35,Tableau7[#Headers],0))+$B$28</f>
        <v>#N/A</v>
      </c>
      <c r="H35" s="60" t="e" cm="1">
        <f t="array" ref="H35">INDEX(Tableau7[#All],$B$26,MATCH($B35,Tableau7[#Headers],0))+$C$28</f>
        <v>#N/A</v>
      </c>
      <c r="I35" s="60">
        <f t="shared" si="0"/>
        <v>0</v>
      </c>
      <c r="J35" s="60" t="e">
        <f t="shared" si="4"/>
        <v>#N/A</v>
      </c>
      <c r="K35" s="60" t="e">
        <f t="shared" si="5"/>
        <v>#N/A</v>
      </c>
      <c r="L35" s="61" t="str">
        <f t="shared" si="1"/>
        <v/>
      </c>
      <c r="M35" s="61" t="str">
        <f t="shared" si="2"/>
        <v/>
      </c>
      <c r="N35" s="61" t="str">
        <f t="shared" si="3"/>
        <v/>
      </c>
      <c r="O35" s="60" t="str">
        <f t="shared" si="6"/>
        <v/>
      </c>
      <c r="P35" s="60" t="str">
        <f t="shared" si="7"/>
        <v/>
      </c>
      <c r="Q35" s="60" t="str">
        <f t="shared" si="8"/>
        <v/>
      </c>
    </row>
    <row r="36" spans="1:17">
      <c r="A36" s="60" t="str">
        <f t="shared" si="9"/>
        <v>KM4</v>
      </c>
      <c r="B36" s="60" t="str">
        <f t="shared" si="10"/>
        <v>D4</v>
      </c>
      <c r="C36" s="60" t="s">
        <v>238</v>
      </c>
      <c r="D36" s="60" t="str">
        <f t="shared" si="11"/>
        <v>Etape 4</v>
      </c>
      <c r="E36" s="60">
        <f t="shared" si="12"/>
        <v>4</v>
      </c>
      <c r="F36" s="60" t="e" cm="1">
        <f t="array" ref="F36">INDEX(Tableau7[#All],$B$26,MATCH($C36,Tableau7[#Headers],0))</f>
        <v>#N/A</v>
      </c>
      <c r="G36" s="60" t="e" cm="1">
        <f t="array" ref="G36">INDEX(Tableau7[#All],$B$26,MATCH($A36,Tableau7[#Headers],0))+$B$28</f>
        <v>#N/A</v>
      </c>
      <c r="H36" s="60" t="e" cm="1">
        <f t="array" ref="H36">INDEX(Tableau7[#All],$B$26,MATCH($B36,Tableau7[#Headers],0))+$C$28</f>
        <v>#N/A</v>
      </c>
      <c r="I36" s="60">
        <f t="shared" si="0"/>
        <v>0</v>
      </c>
      <c r="J36" s="60" t="e">
        <f t="shared" si="4"/>
        <v>#N/A</v>
      </c>
      <c r="K36" s="60" t="e">
        <f t="shared" si="5"/>
        <v>#N/A</v>
      </c>
      <c r="L36" s="61" t="str">
        <f t="shared" si="1"/>
        <v/>
      </c>
      <c r="M36" s="61" t="str">
        <f t="shared" si="2"/>
        <v/>
      </c>
      <c r="N36" s="61" t="str">
        <f t="shared" si="3"/>
        <v/>
      </c>
      <c r="O36" s="60" t="str">
        <f t="shared" si="6"/>
        <v/>
      </c>
      <c r="P36" s="60" t="str">
        <f t="shared" si="7"/>
        <v/>
      </c>
      <c r="Q36" s="60" t="str">
        <f t="shared" si="8"/>
        <v/>
      </c>
    </row>
    <row r="37" spans="1:17">
      <c r="A37" s="60" t="str">
        <f t="shared" si="9"/>
        <v>KM5</v>
      </c>
      <c r="B37" s="60" t="str">
        <f t="shared" si="10"/>
        <v>D5</v>
      </c>
      <c r="C37" s="60" t="s">
        <v>239</v>
      </c>
      <c r="D37" s="60" t="str">
        <f t="shared" si="11"/>
        <v>Etape 3</v>
      </c>
      <c r="E37" s="60">
        <f t="shared" si="12"/>
        <v>3</v>
      </c>
      <c r="F37" s="60" t="e" cm="1">
        <f t="array" ref="F37">INDEX(Tableau7[#All],$B$26,MATCH($C37,Tableau7[#Headers],0))</f>
        <v>#N/A</v>
      </c>
      <c r="G37" s="60" t="e" cm="1">
        <f t="array" ref="G37">INDEX(Tableau7[#All],$B$26,MATCH($A37,Tableau7[#Headers],0))+$B$28</f>
        <v>#N/A</v>
      </c>
      <c r="H37" s="60" t="e" cm="1">
        <f t="array" ref="H37">INDEX(Tableau7[#All],$B$26,MATCH($B37,Tableau7[#Headers],0))+$C$28</f>
        <v>#N/A</v>
      </c>
      <c r="I37" s="60">
        <f t="shared" si="0"/>
        <v>0</v>
      </c>
      <c r="J37" s="60" t="e">
        <f t="shared" si="4"/>
        <v>#N/A</v>
      </c>
      <c r="K37" s="60" t="e">
        <f t="shared" si="5"/>
        <v>#N/A</v>
      </c>
      <c r="L37" s="61" t="str">
        <f t="shared" si="1"/>
        <v/>
      </c>
      <c r="M37" s="61" t="str">
        <f t="shared" si="2"/>
        <v/>
      </c>
      <c r="N37" s="61" t="str">
        <f t="shared" si="3"/>
        <v/>
      </c>
      <c r="O37" s="60" t="str">
        <f t="shared" si="6"/>
        <v/>
      </c>
      <c r="P37" s="60" t="str">
        <f t="shared" si="7"/>
        <v/>
      </c>
      <c r="Q37" s="60" t="str">
        <f t="shared" si="8"/>
        <v/>
      </c>
    </row>
    <row r="38" spans="1:17">
      <c r="A38" s="60" t="str">
        <f t="shared" si="9"/>
        <v>KM6</v>
      </c>
      <c r="B38" s="60" t="str">
        <f t="shared" si="10"/>
        <v>D6</v>
      </c>
      <c r="C38" s="60" t="s">
        <v>240</v>
      </c>
      <c r="D38" s="60" t="str">
        <f t="shared" si="11"/>
        <v>Etape 2</v>
      </c>
      <c r="E38" s="60">
        <f t="shared" si="12"/>
        <v>2</v>
      </c>
      <c r="F38" s="60" t="e" cm="1">
        <f t="array" ref="F38">INDEX(Tableau7[#All],$B$26,MATCH($C38,Tableau7[#Headers],0))</f>
        <v>#N/A</v>
      </c>
      <c r="G38" s="60" t="e" cm="1">
        <f t="array" ref="G38">INDEX(Tableau7[#All],$B$26,MATCH($A38,Tableau7[#Headers],0))+$B$28</f>
        <v>#N/A</v>
      </c>
      <c r="H38" s="60" t="e" cm="1">
        <f t="array" ref="H38">INDEX(Tableau7[#All],$B$26,MATCH($B38,Tableau7[#Headers],0))+$C$28</f>
        <v>#N/A</v>
      </c>
      <c r="I38" s="60">
        <f t="shared" si="0"/>
        <v>0</v>
      </c>
      <c r="J38" s="60" t="e">
        <f t="shared" si="4"/>
        <v>#N/A</v>
      </c>
      <c r="K38" s="60" t="e">
        <f t="shared" si="5"/>
        <v>#N/A</v>
      </c>
      <c r="L38" s="61" t="str">
        <f t="shared" si="1"/>
        <v/>
      </c>
      <c r="M38" s="61" t="str">
        <f t="shared" si="2"/>
        <v/>
      </c>
      <c r="N38" s="61" t="str">
        <f t="shared" si="3"/>
        <v/>
      </c>
      <c r="O38" s="60" t="str">
        <f t="shared" si="6"/>
        <v/>
      </c>
      <c r="P38" s="60" t="str">
        <f t="shared" si="7"/>
        <v/>
      </c>
      <c r="Q38" s="60" t="str">
        <f t="shared" si="8"/>
        <v/>
      </c>
    </row>
    <row r="39" spans="1:17">
      <c r="A39" s="60" t="str">
        <f t="shared" si="9"/>
        <v>KM7</v>
      </c>
      <c r="B39" s="60" t="str">
        <f t="shared" si="10"/>
        <v>D7</v>
      </c>
      <c r="C39" s="60" t="s">
        <v>241</v>
      </c>
      <c r="D39" s="60" t="str">
        <f t="shared" si="11"/>
        <v>Etape 1</v>
      </c>
      <c r="E39" s="60">
        <f t="shared" si="12"/>
        <v>1</v>
      </c>
      <c r="F39" s="60" t="e" cm="1">
        <f t="array" ref="F39">INDEX(Tableau7[#All],$B$26,MATCH($C39,Tableau7[#Headers],0))</f>
        <v>#N/A</v>
      </c>
      <c r="G39" s="60" t="e" cm="1">
        <f t="array" ref="G39">INDEX(Tableau7[#All],$B$26,MATCH($A39,Tableau7[#Headers],0))+$B$28</f>
        <v>#N/A</v>
      </c>
      <c r="H39" s="60" t="e" cm="1">
        <f t="array" ref="H39">INDEX(Tableau7[#All],$B$26,MATCH($B39,Tableau7[#Headers],0))+$C$28</f>
        <v>#N/A</v>
      </c>
      <c r="I39" s="60">
        <f t="shared" si="0"/>
        <v>0</v>
      </c>
      <c r="J39" s="60" t="e">
        <f t="shared" si="4"/>
        <v>#N/A</v>
      </c>
      <c r="K39" s="60" t="e">
        <f t="shared" si="5"/>
        <v>#N/A</v>
      </c>
      <c r="L39" s="61" t="str">
        <f t="shared" si="1"/>
        <v/>
      </c>
      <c r="M39" s="61" t="str">
        <f t="shared" si="2"/>
        <v/>
      </c>
      <c r="N39" s="61" t="str">
        <f t="shared" si="3"/>
        <v/>
      </c>
      <c r="O39" s="60" t="str">
        <f t="shared" si="6"/>
        <v/>
      </c>
      <c r="P39" s="60" t="str">
        <f t="shared" si="7"/>
        <v/>
      </c>
      <c r="Q39" s="60" t="str">
        <f t="shared" si="8"/>
        <v/>
      </c>
    </row>
    <row r="40" spans="1:17">
      <c r="A40" s="60" t="str">
        <f t="shared" si="9"/>
        <v>KM8</v>
      </c>
      <c r="B40" s="60" t="str">
        <f t="shared" si="10"/>
        <v>D8</v>
      </c>
      <c r="C40" s="60" t="s">
        <v>242</v>
      </c>
      <c r="D40" s="60" t="str">
        <f t="shared" si="11"/>
        <v>Départ</v>
      </c>
      <c r="E40" s="60" t="str">
        <f t="shared" si="12"/>
        <v>Départ</v>
      </c>
      <c r="F40" s="60" t="e" cm="1">
        <f t="array" ref="F40">INDEX(Tableau7[#All],$B$26,MATCH($C40,Tableau7[#Headers],0))</f>
        <v>#N/A</v>
      </c>
      <c r="G40" s="60" t="e" cm="1">
        <f t="array" ref="G40">INDEX(Tableau7[#All],$B$26,MATCH($A40,Tableau7[#Headers],0))+$B$28</f>
        <v>#N/A</v>
      </c>
      <c r="H40" s="60" t="e" cm="1">
        <f t="array" ref="H40">INDEX(Tableau7[#All],$B$26,MATCH($B40,Tableau7[#Headers],0))+$C$28</f>
        <v>#N/A</v>
      </c>
      <c r="I40" s="60">
        <f t="shared" si="0"/>
        <v>0</v>
      </c>
      <c r="J40" s="60" t="e">
        <f t="shared" si="4"/>
        <v>#N/A</v>
      </c>
      <c r="K40" s="60" t="e">
        <f t="shared" si="5"/>
        <v>#N/A</v>
      </c>
      <c r="L40" s="61" t="str">
        <f t="shared" si="1"/>
        <v/>
      </c>
      <c r="M40" s="61" t="str">
        <f t="shared" si="2"/>
        <v/>
      </c>
      <c r="N40" s="61" t="str">
        <f t="shared" si="3"/>
        <v/>
      </c>
      <c r="O40" s="60" t="str">
        <f t="shared" si="6"/>
        <v/>
      </c>
      <c r="P40" s="60" t="str">
        <f t="shared" si="7"/>
        <v/>
      </c>
      <c r="Q40" s="60" t="str">
        <f t="shared" si="8"/>
        <v/>
      </c>
    </row>
    <row r="44" spans="1:17">
      <c r="A44" t="s">
        <v>194</v>
      </c>
      <c r="B44">
        <f>COUNTA(F32:F40)-COUNT(F32:F40)-1</f>
        <v>8</v>
      </c>
    </row>
  </sheetData>
  <sheetProtection algorithmName="SHA-512" hashValue="0uAUd8FJTDnpiUwRarFjlk+OP/kHcYWOBlOToNRXVul4emJnCollK3UfSLaQ3AFJWChkjnYHx6UizjjNv6XcLA==" saltValue="ABPOtdJDgHhkxOKyeTK2MQ==" spinCount="100000" sheet="1" objects="1" scenarios="1"/>
  <phoneticPr fontId="21"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36F87-9072-4739-B040-553D42953907}">
  <sheetPr codeName="Feuil1">
    <tabColor rgb="FFFA000A"/>
    <pageSetUpPr fitToPage="1"/>
  </sheetPr>
  <dimension ref="A1:AA57"/>
  <sheetViews>
    <sheetView showGridLines="0" tabSelected="1" zoomScaleNormal="100" workbookViewId="0">
      <pane ySplit="10" topLeftCell="A11" activePane="bottomLeft" state="frozen"/>
      <selection pane="bottomLeft" activeCell="E20" sqref="E20"/>
    </sheetView>
  </sheetViews>
  <sheetFormatPr baseColWidth="10" defaultColWidth="0" defaultRowHeight="23.25" zeroHeight="1"/>
  <cols>
    <col min="1" max="2" width="1.125" style="6" customWidth="1"/>
    <col min="3" max="3" width="3.25" style="6" customWidth="1"/>
    <col min="4" max="4" width="6" style="6" customWidth="1"/>
    <col min="5" max="5" width="28.25" style="6" customWidth="1"/>
    <col min="6" max="10" width="7.625" style="6" customWidth="1"/>
    <col min="11" max="11" width="8.875" style="6" customWidth="1"/>
    <col min="12" max="12" width="8.75" style="6" customWidth="1"/>
    <col min="13" max="13" width="8.375" style="6" customWidth="1"/>
    <col min="14" max="14" width="10.375" style="6" customWidth="1"/>
    <col min="15" max="15" width="10.25" style="6" customWidth="1"/>
    <col min="16" max="16" width="6" style="6" customWidth="1"/>
    <col min="17" max="17" width="1.25" style="6" customWidth="1"/>
    <col min="18" max="18" width="8.5" style="6" bestFit="1" customWidth="1"/>
    <col min="19" max="19" width="1.25" style="6" customWidth="1"/>
    <col min="20" max="20" width="1.125" style="6" customWidth="1"/>
    <col min="21" max="21" width="2.125" style="6" hidden="1" customWidth="1"/>
    <col min="22" max="22" width="10.625" style="6" hidden="1" customWidth="1"/>
    <col min="23" max="16384" width="10" style="6" hidden="1"/>
  </cols>
  <sheetData>
    <row r="1" spans="1:25" s="5" customFormat="1" ht="6.75" customHeight="1">
      <c r="A1" s="28"/>
      <c r="B1" s="28"/>
      <c r="C1" s="28"/>
      <c r="D1" s="28"/>
      <c r="E1" s="28"/>
      <c r="F1" s="28"/>
      <c r="G1" s="28"/>
      <c r="H1" s="28"/>
      <c r="I1" s="28"/>
      <c r="J1" s="28"/>
      <c r="K1" s="28"/>
      <c r="L1" s="28"/>
      <c r="M1" s="28"/>
      <c r="N1" s="28"/>
      <c r="O1" s="28"/>
      <c r="P1" s="28"/>
      <c r="Q1" s="28"/>
      <c r="R1" s="28"/>
      <c r="S1" s="28"/>
      <c r="T1" s="29"/>
    </row>
    <row r="2" spans="1:25" s="53" customFormat="1" ht="11.25" customHeight="1">
      <c r="A2" s="52"/>
      <c r="B2" s="116"/>
      <c r="C2" s="116"/>
      <c r="D2" s="116"/>
      <c r="E2" s="117"/>
      <c r="F2" s="116"/>
      <c r="G2" s="116"/>
      <c r="H2" s="116"/>
      <c r="I2" s="116"/>
      <c r="J2" s="116"/>
      <c r="K2" s="116"/>
      <c r="L2" s="116"/>
      <c r="M2" s="116"/>
      <c r="N2" s="117"/>
      <c r="O2" s="117"/>
      <c r="P2" s="117"/>
      <c r="Q2" s="117"/>
      <c r="R2" s="117"/>
      <c r="S2" s="117"/>
      <c r="T2" s="52"/>
    </row>
    <row r="3" spans="1:25" s="5" customFormat="1" ht="21" thickBot="1">
      <c r="A3" s="29"/>
      <c r="B3" s="42"/>
      <c r="C3" s="42" t="s">
        <v>2</v>
      </c>
      <c r="D3" s="43"/>
      <c r="E3" s="118"/>
      <c r="F3" s="109" t="str">
        <f>IFERROR(HYPERLINK(VLOOKUP(Calculateur!$E$3,Liste!$D:$S,14,0),"ü"),"")</f>
        <v/>
      </c>
      <c r="G3" s="109" t="str">
        <f>IFERROR(HYPERLINK(VLOOKUP(Calculateur!$E$3,Liste!$D:$S,15,0),""),"")</f>
        <v/>
      </c>
      <c r="H3" s="115" t="s">
        <v>410</v>
      </c>
      <c r="I3" s="96"/>
      <c r="J3" s="96"/>
      <c r="K3" s="96"/>
      <c r="L3" s="96"/>
      <c r="M3" s="96"/>
      <c r="N3" s="91"/>
      <c r="O3" s="91"/>
      <c r="P3" s="91"/>
      <c r="Q3" s="91"/>
      <c r="R3" s="91"/>
      <c r="S3" s="91"/>
      <c r="T3" s="29"/>
    </row>
    <row r="4" spans="1:25" customFormat="1" ht="15.75" thickTop="1">
      <c r="A4" s="30"/>
      <c r="B4" s="92"/>
      <c r="C4" s="84"/>
      <c r="D4" s="84"/>
      <c r="E4" s="84"/>
      <c r="F4" s="110"/>
      <c r="G4" s="98"/>
      <c r="H4" s="97" t="s">
        <v>411</v>
      </c>
      <c r="I4" s="98"/>
      <c r="J4" s="98"/>
      <c r="K4" s="98"/>
      <c r="L4" s="98"/>
      <c r="M4" s="98"/>
      <c r="N4" s="94"/>
      <c r="O4" s="94"/>
      <c r="P4" s="94"/>
      <c r="Q4" s="94"/>
      <c r="R4" s="94"/>
      <c r="S4" s="94"/>
      <c r="T4" s="30"/>
    </row>
    <row r="5" spans="1:25" customFormat="1" ht="14.25">
      <c r="A5" s="30"/>
      <c r="B5" s="93"/>
      <c r="C5" s="88" t="s">
        <v>153</v>
      </c>
      <c r="D5" s="87"/>
      <c r="E5" s="119"/>
      <c r="F5" s="98"/>
      <c r="G5" s="98"/>
      <c r="H5" s="99" t="s">
        <v>0</v>
      </c>
      <c r="I5" s="100"/>
      <c r="J5" s="101"/>
      <c r="K5" s="102"/>
      <c r="L5" s="103"/>
      <c r="M5" s="94"/>
      <c r="N5" s="94"/>
      <c r="O5" s="94"/>
      <c r="P5" s="94"/>
      <c r="Q5" s="94"/>
      <c r="R5" s="94"/>
      <c r="S5" s="94"/>
      <c r="T5" s="30"/>
      <c r="W5" s="48">
        <v>36526</v>
      </c>
      <c r="X5" s="48">
        <v>73050</v>
      </c>
      <c r="Y5">
        <f>IF(I5="Date",1,IF(I5&lt;W5,0,IF(I5&gt;X5,0,1)))</f>
        <v>0</v>
      </c>
    </row>
    <row r="6" spans="1:25" customFormat="1" ht="15" thickBot="1">
      <c r="A6" s="30"/>
      <c r="B6" s="93"/>
      <c r="C6" s="88" t="s">
        <v>151</v>
      </c>
      <c r="D6" s="87"/>
      <c r="E6" s="119"/>
      <c r="F6" s="111" t="s">
        <v>207</v>
      </c>
      <c r="G6" s="98"/>
      <c r="H6" s="95"/>
      <c r="I6" s="104"/>
      <c r="J6" s="104"/>
      <c r="K6" s="104"/>
      <c r="L6" s="105"/>
      <c r="M6" s="105"/>
      <c r="N6" s="98"/>
      <c r="O6" s="94"/>
      <c r="P6" s="94"/>
      <c r="Q6" s="94"/>
      <c r="R6" s="94"/>
      <c r="S6" s="94"/>
      <c r="T6" s="30"/>
    </row>
    <row r="7" spans="1:25" customFormat="1" ht="15.75" thickTop="1">
      <c r="A7" s="30"/>
      <c r="B7" s="84"/>
      <c r="C7" s="85"/>
      <c r="D7" s="85"/>
      <c r="E7" s="85"/>
      <c r="F7" s="99" t="s">
        <v>130</v>
      </c>
      <c r="G7" s="112">
        <f>SUMIFS(Liste!L:L,Liste!B:B,$E$3,Liste!C:C,Option)</f>
        <v>0</v>
      </c>
      <c r="H7" s="97" t="s">
        <v>412</v>
      </c>
      <c r="I7" s="98"/>
      <c r="J7" s="98"/>
      <c r="K7" s="98"/>
      <c r="L7" s="98"/>
      <c r="M7" s="98"/>
      <c r="N7" s="98"/>
      <c r="O7" s="46" t="str">
        <f>HYPERLINK("https://myaccount.audax-club-parisien.com/","Sinscrire          📝")</f>
        <v>Sinscrire          📝</v>
      </c>
      <c r="P7" s="24"/>
      <c r="Q7" s="94"/>
      <c r="R7" s="94"/>
      <c r="S7" s="94"/>
      <c r="T7" s="30"/>
    </row>
    <row r="8" spans="1:25" customFormat="1" ht="15">
      <c r="A8" s="30"/>
      <c r="B8" s="86"/>
      <c r="C8" s="87"/>
      <c r="D8" s="88" t="s">
        <v>206</v>
      </c>
      <c r="E8" s="89" t="str">
        <f>IFERROR(VLOOKUP($E$3&amp;Option,Liste!A:F,5,0),"")</f>
        <v/>
      </c>
      <c r="F8" s="99" t="s">
        <v>131</v>
      </c>
      <c r="G8" s="112">
        <f>SUMIFS(Liste!M:M,Liste!B:B,$E$3,Liste!C:C,Option)</f>
        <v>0</v>
      </c>
      <c r="H8" s="99" t="s">
        <v>0</v>
      </c>
      <c r="I8" s="100"/>
      <c r="J8" s="101"/>
      <c r="K8" s="102"/>
      <c r="L8" s="106" t="str">
        <f>IF(M8="","","⌛ ")</f>
        <v/>
      </c>
      <c r="M8" s="107" t="str">
        <f>IFERROR(IF(COUNTBLANK(I8:K9)&gt;0,"",(I9-I8)+(TIME(J9,K9,0)-TIME(J8,K8,0))),"")</f>
        <v/>
      </c>
      <c r="N8" s="98"/>
      <c r="O8" s="46" t="str">
        <f>HYPERLINK(
"mailto:" &amp; Adresse_Mail &amp;
"?subject=" &amp; SUBSTITUTE(titre_mail," ","%20") &amp;
"&amp;body=" &amp;
SUBSTITUTE(SUBSTITUTE(Mail_L1 &amp; CHAR(10) &amp; Mail_L2 &amp; CHAR(10) &amp; Mail_L3 &amp; CHAR(10) &amp; Mail_L4 &amp; CHAR(10) &amp; Mail_L5 &amp; CHAR(10) &amp; Mail_L6 &amp; CHAR(10) &amp; Mail_L7 &amp; CHAR(10) &amp; Mail_L8 &amp; CHAR(10) &amp; Mail_L9 &amp; CHAR(10) &amp; Mail_L10 &amp; CHAR(10) &amp; Mail_L11, " ", "%20"), CHAR(10), "%0A"),
nom_mail
)</f>
        <v>Homologuer     ✅</v>
      </c>
      <c r="P8" s="24"/>
      <c r="Q8" s="94"/>
      <c r="R8" s="94"/>
      <c r="S8" s="94"/>
      <c r="T8" s="30"/>
      <c r="W8" s="48">
        <f>W$5</f>
        <v>36526</v>
      </c>
      <c r="X8" s="48">
        <f>X$5</f>
        <v>73050</v>
      </c>
      <c r="Y8">
        <f>IF(I8="Date",1,IF(I8&lt;W8,0,IF(I8&gt;X8,0,1)))</f>
        <v>0</v>
      </c>
    </row>
    <row r="9" spans="1:25" customFormat="1" ht="15">
      <c r="A9" s="30"/>
      <c r="B9" s="86"/>
      <c r="C9" s="87"/>
      <c r="D9" s="88" t="s">
        <v>196</v>
      </c>
      <c r="E9" s="90" t="str">
        <f>IFERROR(VLOOKUP($E$3&amp;Option,Liste!A:F,6,0),"")</f>
        <v/>
      </c>
      <c r="F9" s="113" t="s">
        <v>132</v>
      </c>
      <c r="G9" s="114">
        <f>SUMIFS(Liste!N:N,Liste!B:B,$E$3,Liste!C:C,Option)</f>
        <v>0</v>
      </c>
      <c r="H9" s="99" t="s">
        <v>1</v>
      </c>
      <c r="I9" s="100"/>
      <c r="J9" s="101"/>
      <c r="K9" s="102"/>
      <c r="L9" s="106" t="str">
        <f>IF(M9="","","🏆")</f>
        <v/>
      </c>
      <c r="M9" s="108" t="str">
        <f>IF(M8="","",IF(M8&lt;$G$7,"OR",IF(M8&lt;$G$8,"ARGENT","BRONZE")))</f>
        <v/>
      </c>
      <c r="N9" s="98"/>
      <c r="O9" s="46" t="str">
        <f>HYPERLINK("mailto:"&amp;Adresse_Mail,"Correspondre  📧")</f>
        <v>Correspondre  📧</v>
      </c>
      <c r="P9" s="24"/>
      <c r="Q9" s="94"/>
      <c r="R9" s="94"/>
      <c r="S9" s="94"/>
      <c r="T9" s="30"/>
      <c r="W9" s="48">
        <f>W$5</f>
        <v>36526</v>
      </c>
      <c r="X9" s="48">
        <f>X$5</f>
        <v>73050</v>
      </c>
      <c r="Y9">
        <f>IF(I9="Date",1,IF(I9&lt;W9,0,IF(I9&gt;X9,0,1)))</f>
        <v>0</v>
      </c>
    </row>
    <row r="10" spans="1:25" customFormat="1" ht="14.25">
      <c r="A10" s="30"/>
      <c r="B10" s="86"/>
      <c r="C10" s="86"/>
      <c r="D10" s="86"/>
      <c r="E10" s="86"/>
      <c r="F10" s="98"/>
      <c r="G10" s="98"/>
      <c r="H10" s="98"/>
      <c r="I10" s="98"/>
      <c r="J10" s="98"/>
      <c r="K10" s="98"/>
      <c r="L10" s="98"/>
      <c r="M10" s="98"/>
      <c r="N10" s="98"/>
      <c r="O10" s="98"/>
      <c r="P10" s="98"/>
      <c r="Q10" s="98"/>
      <c r="R10" s="98"/>
      <c r="S10" s="98"/>
      <c r="T10" s="30"/>
    </row>
    <row r="11" spans="1:25" s="121" customFormat="1" ht="21" customHeight="1">
      <c r="A11" s="120"/>
      <c r="B11" s="45"/>
      <c r="C11" s="123" t="s">
        <v>413</v>
      </c>
      <c r="D11" s="44" t="s">
        <v>388</v>
      </c>
      <c r="E11" s="34"/>
      <c r="F11" s="12"/>
      <c r="G11" s="12"/>
      <c r="H11" s="12"/>
      <c r="I11" s="12"/>
      <c r="J11" s="55"/>
      <c r="L11" s="63" t="str">
        <f>IF(M11="","","⌛ ")</f>
        <v/>
      </c>
      <c r="M11" s="64" t="str">
        <f>IF(COUNTBLANK(W12:Y13)&gt;0,"",(W13-W12)+(TIME(X13,Y13,0)-TIME(X12,Y12,0)))</f>
        <v/>
      </c>
      <c r="N11" s="63" t="str">
        <f>IF(O11="","","🏆")</f>
        <v/>
      </c>
      <c r="O11" s="65" t="str">
        <f>IF(M11="","",IF(M11&lt;$G$7,"OR",IF(M11&lt;$G$8,"ARGENT","BRONZE")))</f>
        <v/>
      </c>
      <c r="P11" s="122"/>
      <c r="T11" s="120"/>
      <c r="V11" s="121" t="s">
        <v>405</v>
      </c>
      <c r="W11" s="121">
        <f>IF(ISERROR(I5*1),1,0)</f>
        <v>0</v>
      </c>
      <c r="X11" s="121">
        <f>IF(ISERROR(J5*1),1,0)</f>
        <v>0</v>
      </c>
      <c r="Y11" s="121">
        <f>IF(ISERROR(K5*1),1,0)</f>
        <v>0</v>
      </c>
    </row>
    <row r="12" spans="1:25" s="53" customFormat="1" ht="12.75">
      <c r="A12" s="52"/>
      <c r="B12" s="27"/>
      <c r="C12" s="27"/>
      <c r="D12" s="142" t="s">
        <v>194</v>
      </c>
      <c r="E12" s="142"/>
      <c r="F12" s="143" t="s">
        <v>195</v>
      </c>
      <c r="G12" s="143"/>
      <c r="H12" s="136" t="s">
        <v>196</v>
      </c>
      <c r="I12" s="137"/>
      <c r="J12" s="138"/>
      <c r="K12" s="139" t="s">
        <v>197</v>
      </c>
      <c r="L12" s="140"/>
      <c r="M12" s="140"/>
      <c r="N12" s="140"/>
      <c r="O12" s="141"/>
      <c r="P12" s="9" t="s">
        <v>397</v>
      </c>
      <c r="T12" s="52"/>
      <c r="V12" s="47" t="s">
        <v>0</v>
      </c>
      <c r="W12" s="48" t="str">
        <f>IF(OR(W11=1,I5=""),"",I5)</f>
        <v/>
      </c>
      <c r="X12" s="25" t="str">
        <f>IF(OR(X11=1,J5=""),"",J5)</f>
        <v/>
      </c>
      <c r="Y12" s="26" t="str">
        <f>IF(OR(Y11=1,K5=""),"",K5)</f>
        <v/>
      </c>
    </row>
    <row r="13" spans="1:25" s="53" customFormat="1" ht="25.5">
      <c r="A13" s="52"/>
      <c r="B13" s="27"/>
      <c r="C13" s="27"/>
      <c r="D13" s="35" t="s">
        <v>198</v>
      </c>
      <c r="E13" s="36" t="str">
        <f>IF($E$5=0,"",$E$5)</f>
        <v/>
      </c>
      <c r="F13" s="8" t="s">
        <v>200</v>
      </c>
      <c r="G13" s="11" t="s">
        <v>209</v>
      </c>
      <c r="H13" s="8" t="s">
        <v>200</v>
      </c>
      <c r="I13" s="11" t="s">
        <v>209</v>
      </c>
      <c r="J13" s="11" t="s">
        <v>387</v>
      </c>
      <c r="K13" s="9" t="s">
        <v>205</v>
      </c>
      <c r="L13" s="9" t="s">
        <v>204</v>
      </c>
      <c r="M13" s="9" t="s">
        <v>203</v>
      </c>
      <c r="N13" s="10" t="s">
        <v>199</v>
      </c>
      <c r="O13" s="10" t="s">
        <v>201</v>
      </c>
      <c r="P13" s="10" t="s">
        <v>202</v>
      </c>
      <c r="R13" s="58" t="s">
        <v>398</v>
      </c>
      <c r="T13" s="52"/>
      <c r="V13" s="47" t="s">
        <v>1</v>
      </c>
      <c r="W13" s="48" t="str">
        <f>IF(COUNTIF(O14:O21,"&gt;1")&gt;0,DATE(YEAR(MAX(O14:O21)),MONTH(MAX(O14:O21)),DAY(MAX(O14:O21))),"")</f>
        <v/>
      </c>
      <c r="X13" s="25" t="str" cm="1">
        <f t="array" ref="X13">IF(COUNTIF($O$14:$O$21,"&gt;1")&gt;0,HOUR(INDEX($O$14:$O$21,COUNTIF($O$14:$O$21,"&gt;1"),1)),"")</f>
        <v/>
      </c>
      <c r="Y13" s="26" t="str" cm="1">
        <f t="array" ref="Y13">IF(COUNTIF($O$14:$O$21,"&gt;1")&gt;0,MINUTE(INDEX($O$14:$O$21,COUNTIF($O$14:$O$21,"&gt;1"),1)),"")</f>
        <v/>
      </c>
    </row>
    <row r="14" spans="1:25" s="53" customFormat="1" ht="21.75" customHeight="1">
      <c r="A14" s="52"/>
      <c r="B14" s="27"/>
      <c r="C14" s="27"/>
      <c r="D14" s="37" t="str">
        <f>IF(E14="","",1)</f>
        <v/>
      </c>
      <c r="E14" s="38" t="str">
        <f>Etapes!L33</f>
        <v/>
      </c>
      <c r="F14" s="22" t="str">
        <f>G14</f>
        <v/>
      </c>
      <c r="G14" s="14" t="str">
        <f>Etapes!M33</f>
        <v/>
      </c>
      <c r="H14" s="22" t="str">
        <f>I14</f>
        <v/>
      </c>
      <c r="I14" s="14" t="str">
        <f>Etapes!N33</f>
        <v/>
      </c>
      <c r="J14" s="23" t="str">
        <f t="shared" ref="J14:J21" si="0">IFERROR(H14/F14,"")</f>
        <v/>
      </c>
      <c r="K14" s="56" t="str">
        <f t="shared" ref="K14:K21" si="1">IF(E14="","",IF(R14=0,$L$5,R14))</f>
        <v/>
      </c>
      <c r="L14" s="16"/>
      <c r="M14" s="17" t="str">
        <f t="shared" ref="M14:M21" si="2">IFERROR(F14/K14*L14*60,"")</f>
        <v/>
      </c>
      <c r="N14" s="18" t="str">
        <f>IFERROR(IF(W12+TIME(X12,Y12,0)=0,"",W12+TIME(X12,Y12,0)),"")</f>
        <v/>
      </c>
      <c r="O14" s="18" t="str">
        <f t="shared" ref="O14:O21" si="3">IFERROR(N14+F14/K14/24+M14/24/60,"")</f>
        <v/>
      </c>
      <c r="P14" s="13"/>
      <c r="R14" s="57"/>
      <c r="T14" s="52"/>
      <c r="X14" s="54"/>
    </row>
    <row r="15" spans="1:25" s="53" customFormat="1" ht="21.75" customHeight="1">
      <c r="A15" s="52"/>
      <c r="B15" s="27"/>
      <c r="C15" s="27"/>
      <c r="D15" s="37" t="str">
        <f>IF(E15="","",D14+1)</f>
        <v/>
      </c>
      <c r="E15" s="38" t="str">
        <f>Etapes!L34</f>
        <v/>
      </c>
      <c r="F15" s="22" t="str">
        <f t="shared" ref="F15:H21" si="4">IFERROR(G15-G14,"")</f>
        <v/>
      </c>
      <c r="G15" s="14" t="str">
        <f>Etapes!M34</f>
        <v/>
      </c>
      <c r="H15" s="22" t="str">
        <f t="shared" si="4"/>
        <v/>
      </c>
      <c r="I15" s="14" t="str">
        <f>Etapes!N34</f>
        <v/>
      </c>
      <c r="J15" s="23" t="str">
        <f t="shared" si="0"/>
        <v/>
      </c>
      <c r="K15" s="56" t="str">
        <f t="shared" si="1"/>
        <v/>
      </c>
      <c r="L15" s="16"/>
      <c r="M15" s="17" t="str">
        <f t="shared" si="2"/>
        <v/>
      </c>
      <c r="N15" s="18" t="str">
        <f t="shared" ref="N15:N21" si="5">IF(E15="","",IFERROR(O14+P14/60/24,""))</f>
        <v/>
      </c>
      <c r="O15" s="18" t="str">
        <f t="shared" si="3"/>
        <v/>
      </c>
      <c r="P15" s="13"/>
      <c r="R15" s="15"/>
      <c r="T15" s="52"/>
      <c r="X15" s="54"/>
    </row>
    <row r="16" spans="1:25" s="53" customFormat="1" ht="21.75" customHeight="1">
      <c r="A16" s="52"/>
      <c r="B16" s="27"/>
      <c r="C16" s="27"/>
      <c r="D16" s="37" t="str">
        <f t="shared" ref="D16:D21" si="6">IF(E16="","",D15+1)</f>
        <v/>
      </c>
      <c r="E16" s="39" t="str">
        <f>Etapes!L35</f>
        <v/>
      </c>
      <c r="F16" s="22" t="str">
        <f t="shared" si="4"/>
        <v/>
      </c>
      <c r="G16" s="14" t="str">
        <f>Etapes!M35</f>
        <v/>
      </c>
      <c r="H16" s="22" t="str">
        <f t="shared" si="4"/>
        <v/>
      </c>
      <c r="I16" s="14" t="str">
        <f>Etapes!N35</f>
        <v/>
      </c>
      <c r="J16" s="23" t="str">
        <f t="shared" si="0"/>
        <v/>
      </c>
      <c r="K16" s="56" t="str">
        <f t="shared" si="1"/>
        <v/>
      </c>
      <c r="L16" s="16"/>
      <c r="M16" s="17" t="str">
        <f t="shared" si="2"/>
        <v/>
      </c>
      <c r="N16" s="18" t="str">
        <f t="shared" si="5"/>
        <v/>
      </c>
      <c r="O16" s="18" t="str">
        <f t="shared" si="3"/>
        <v/>
      </c>
      <c r="P16" s="13"/>
      <c r="R16" s="15"/>
      <c r="T16" s="52"/>
      <c r="X16" s="62"/>
    </row>
    <row r="17" spans="1:27" s="53" customFormat="1" ht="21.75" customHeight="1">
      <c r="A17" s="52"/>
      <c r="B17" s="27"/>
      <c r="C17" s="27"/>
      <c r="D17" s="37" t="str">
        <f t="shared" si="6"/>
        <v/>
      </c>
      <c r="E17" s="39" t="str">
        <f>Etapes!L36</f>
        <v/>
      </c>
      <c r="F17" s="22" t="str">
        <f t="shared" si="4"/>
        <v/>
      </c>
      <c r="G17" s="14" t="str">
        <f>Etapes!M36</f>
        <v/>
      </c>
      <c r="H17" s="22" t="str">
        <f t="shared" si="4"/>
        <v/>
      </c>
      <c r="I17" s="14" t="str">
        <f>Etapes!N36</f>
        <v/>
      </c>
      <c r="J17" s="23" t="str">
        <f t="shared" si="0"/>
        <v/>
      </c>
      <c r="K17" s="56" t="str">
        <f t="shared" si="1"/>
        <v/>
      </c>
      <c r="L17" s="16"/>
      <c r="M17" s="17" t="str">
        <f t="shared" si="2"/>
        <v/>
      </c>
      <c r="N17" s="18" t="str">
        <f t="shared" si="5"/>
        <v/>
      </c>
      <c r="O17" s="18" t="str">
        <f t="shared" si="3"/>
        <v/>
      </c>
      <c r="P17" s="13"/>
      <c r="R17" s="15"/>
      <c r="T17" s="52"/>
      <c r="X17" s="54"/>
    </row>
    <row r="18" spans="1:27" s="53" customFormat="1" ht="21.75" customHeight="1">
      <c r="A18" s="52"/>
      <c r="B18" s="27"/>
      <c r="C18" s="27"/>
      <c r="D18" s="37" t="str">
        <f t="shared" si="6"/>
        <v/>
      </c>
      <c r="E18" s="39" t="str">
        <f>Etapes!L37</f>
        <v/>
      </c>
      <c r="F18" s="22" t="str">
        <f t="shared" si="4"/>
        <v/>
      </c>
      <c r="G18" s="14" t="str">
        <f>Etapes!M37</f>
        <v/>
      </c>
      <c r="H18" s="22" t="str">
        <f t="shared" si="4"/>
        <v/>
      </c>
      <c r="I18" s="14" t="str">
        <f>Etapes!N37</f>
        <v/>
      </c>
      <c r="J18" s="23" t="str">
        <f t="shared" si="0"/>
        <v/>
      </c>
      <c r="K18" s="56" t="str">
        <f t="shared" si="1"/>
        <v/>
      </c>
      <c r="L18" s="16"/>
      <c r="M18" s="17" t="str">
        <f t="shared" si="2"/>
        <v/>
      </c>
      <c r="N18" s="18" t="str">
        <f t="shared" si="5"/>
        <v/>
      </c>
      <c r="O18" s="18" t="str">
        <f t="shared" si="3"/>
        <v/>
      </c>
      <c r="P18" s="13"/>
      <c r="R18" s="15"/>
      <c r="T18" s="52"/>
      <c r="X18" s="54"/>
    </row>
    <row r="19" spans="1:27" s="53" customFormat="1" ht="21.75" customHeight="1">
      <c r="A19" s="52"/>
      <c r="B19" s="27"/>
      <c r="C19" s="27"/>
      <c r="D19" s="37" t="str">
        <f t="shared" si="6"/>
        <v/>
      </c>
      <c r="E19" s="39" t="str">
        <f>Etapes!L38</f>
        <v/>
      </c>
      <c r="F19" s="22" t="str">
        <f t="shared" si="4"/>
        <v/>
      </c>
      <c r="G19" s="14" t="str">
        <f>Etapes!M38</f>
        <v/>
      </c>
      <c r="H19" s="22" t="str">
        <f t="shared" si="4"/>
        <v/>
      </c>
      <c r="I19" s="14" t="str">
        <f>Etapes!N38</f>
        <v/>
      </c>
      <c r="J19" s="23" t="str">
        <f t="shared" si="0"/>
        <v/>
      </c>
      <c r="K19" s="56" t="str">
        <f t="shared" si="1"/>
        <v/>
      </c>
      <c r="L19" s="16"/>
      <c r="M19" s="17" t="str">
        <f t="shared" si="2"/>
        <v/>
      </c>
      <c r="N19" s="18" t="str">
        <f t="shared" si="5"/>
        <v/>
      </c>
      <c r="O19" s="18" t="str">
        <f t="shared" si="3"/>
        <v/>
      </c>
      <c r="P19" s="13"/>
      <c r="R19" s="15"/>
      <c r="T19" s="52"/>
      <c r="X19" s="54"/>
    </row>
    <row r="20" spans="1:27" s="53" customFormat="1" ht="21.75" customHeight="1">
      <c r="A20" s="52"/>
      <c r="B20" s="27"/>
      <c r="C20" s="27"/>
      <c r="D20" s="37" t="str">
        <f t="shared" si="6"/>
        <v/>
      </c>
      <c r="E20" s="39" t="str">
        <f>Etapes!L39</f>
        <v/>
      </c>
      <c r="F20" s="22" t="str">
        <f t="shared" si="4"/>
        <v/>
      </c>
      <c r="G20" s="14" t="str">
        <f>Etapes!M39</f>
        <v/>
      </c>
      <c r="H20" s="22" t="str">
        <f t="shared" si="4"/>
        <v/>
      </c>
      <c r="I20" s="14" t="str">
        <f>Etapes!N39</f>
        <v/>
      </c>
      <c r="J20" s="23" t="str">
        <f t="shared" si="0"/>
        <v/>
      </c>
      <c r="K20" s="56" t="str">
        <f t="shared" si="1"/>
        <v/>
      </c>
      <c r="L20" s="16"/>
      <c r="M20" s="17" t="str">
        <f t="shared" si="2"/>
        <v/>
      </c>
      <c r="N20" s="18" t="str">
        <f t="shared" si="5"/>
        <v/>
      </c>
      <c r="O20" s="18" t="str">
        <f t="shared" si="3"/>
        <v/>
      </c>
      <c r="P20" s="13"/>
      <c r="R20" s="15"/>
      <c r="T20" s="52"/>
      <c r="X20" s="54"/>
    </row>
    <row r="21" spans="1:27" ht="21.75" customHeight="1">
      <c r="A21" s="31"/>
      <c r="B21" s="33"/>
      <c r="C21" s="33"/>
      <c r="D21" s="37" t="str">
        <f t="shared" si="6"/>
        <v/>
      </c>
      <c r="E21" s="39" t="str">
        <f>Etapes!L40</f>
        <v/>
      </c>
      <c r="F21" s="22" t="str">
        <f t="shared" si="4"/>
        <v/>
      </c>
      <c r="G21" s="14" t="str">
        <f>Etapes!M40</f>
        <v/>
      </c>
      <c r="H21" s="22" t="str">
        <f t="shared" si="4"/>
        <v/>
      </c>
      <c r="I21" s="14" t="str">
        <f>Etapes!N40</f>
        <v/>
      </c>
      <c r="J21" s="23" t="str">
        <f t="shared" si="0"/>
        <v/>
      </c>
      <c r="K21" s="56" t="str">
        <f t="shared" si="1"/>
        <v/>
      </c>
      <c r="L21" s="16"/>
      <c r="M21" s="17" t="str">
        <f t="shared" si="2"/>
        <v/>
      </c>
      <c r="N21" s="18" t="str">
        <f t="shared" si="5"/>
        <v/>
      </c>
      <c r="O21" s="18" t="str">
        <f t="shared" si="3"/>
        <v/>
      </c>
      <c r="P21" s="13"/>
      <c r="Q21"/>
      <c r="R21" s="15"/>
      <c r="S21"/>
      <c r="T21" s="31"/>
      <c r="V21"/>
      <c r="W21"/>
      <c r="X21" s="7"/>
      <c r="Y21"/>
      <c r="Z21"/>
      <c r="AA21"/>
    </row>
    <row r="22" spans="1:27" s="50" customFormat="1" ht="11.25">
      <c r="A22" s="49"/>
      <c r="B22" s="124"/>
      <c r="C22" s="124"/>
      <c r="D22" s="125"/>
      <c r="E22" s="126"/>
      <c r="F22" s="127"/>
      <c r="G22" s="128"/>
      <c r="H22" s="127"/>
      <c r="I22" s="128"/>
      <c r="J22" s="129"/>
      <c r="K22" s="130"/>
      <c r="L22" s="131"/>
      <c r="M22" s="132"/>
      <c r="N22" s="133"/>
      <c r="O22" s="133"/>
      <c r="P22" s="127"/>
      <c r="Q22" s="124"/>
      <c r="R22" s="134"/>
      <c r="S22" s="124"/>
      <c r="T22" s="49"/>
      <c r="X22" s="51"/>
    </row>
    <row r="23" spans="1:27" s="121" customFormat="1" ht="21" customHeight="1">
      <c r="A23" s="120"/>
      <c r="B23" s="45"/>
      <c r="C23" s="123" t="s">
        <v>413</v>
      </c>
      <c r="D23" s="44" t="s">
        <v>208</v>
      </c>
      <c r="E23" s="34"/>
      <c r="F23" s="12"/>
      <c r="G23" s="12"/>
      <c r="H23" s="12"/>
      <c r="I23" s="12"/>
      <c r="J23" s="55"/>
      <c r="L23" s="63" t="str">
        <f>IF(M23="","","⌛ ")</f>
        <v/>
      </c>
      <c r="M23" s="64" t="str">
        <f>IF(COUNTBLANK(W24:Y25)&gt;0,"",(W25-W24)+(TIME(X25,Y25,0)-TIME(X24,Y24,0)))</f>
        <v/>
      </c>
      <c r="N23" s="63" t="str">
        <f>IF(O23="","","🏆")</f>
        <v/>
      </c>
      <c r="O23" s="65" t="str">
        <f>IF(M23="","",IF(M23&lt;$G$7,"OR",IF(M23&lt;$G$8,"ARGENT","BRONZE")))</f>
        <v/>
      </c>
      <c r="P23" s="122"/>
      <c r="T23" s="120"/>
    </row>
    <row r="24" spans="1:27" s="53" customFormat="1" ht="12.75">
      <c r="A24" s="52"/>
      <c r="B24" s="27"/>
      <c r="C24" s="27"/>
      <c r="D24" s="142" t="s">
        <v>194</v>
      </c>
      <c r="E24" s="142"/>
      <c r="F24" s="143" t="s">
        <v>195</v>
      </c>
      <c r="G24" s="143"/>
      <c r="H24" s="136" t="s">
        <v>196</v>
      </c>
      <c r="I24" s="137"/>
      <c r="J24" s="138"/>
      <c r="K24" s="139" t="s">
        <v>197</v>
      </c>
      <c r="L24" s="140"/>
      <c r="M24" s="140"/>
      <c r="N24" s="140"/>
      <c r="O24" s="141"/>
      <c r="P24" s="9" t="s">
        <v>397</v>
      </c>
      <c r="T24" s="52"/>
      <c r="V24" s="47" t="s">
        <v>0</v>
      </c>
      <c r="W24" s="48" t="str">
        <f>W12</f>
        <v/>
      </c>
      <c r="X24" s="25" t="str">
        <f>X12</f>
        <v/>
      </c>
      <c r="Y24" s="26" t="str">
        <f>Y12</f>
        <v/>
      </c>
    </row>
    <row r="25" spans="1:27" s="53" customFormat="1" ht="25.5">
      <c r="A25" s="52"/>
      <c r="B25" s="27"/>
      <c r="C25" s="27"/>
      <c r="D25" s="35" t="s">
        <v>198</v>
      </c>
      <c r="E25" s="36" t="str">
        <f>IF($E$5=0,"",$E$5)</f>
        <v/>
      </c>
      <c r="F25" s="8" t="s">
        <v>200</v>
      </c>
      <c r="G25" s="11" t="s">
        <v>209</v>
      </c>
      <c r="H25" s="8" t="s">
        <v>200</v>
      </c>
      <c r="I25" s="11" t="s">
        <v>209</v>
      </c>
      <c r="J25" s="11" t="s">
        <v>387</v>
      </c>
      <c r="K25" s="9" t="s">
        <v>205</v>
      </c>
      <c r="L25" s="9" t="s">
        <v>204</v>
      </c>
      <c r="M25" s="9" t="s">
        <v>203</v>
      </c>
      <c r="N25" s="10" t="s">
        <v>199</v>
      </c>
      <c r="O25" s="10" t="s">
        <v>201</v>
      </c>
      <c r="P25" s="10" t="s">
        <v>202</v>
      </c>
      <c r="R25" s="58" t="s">
        <v>398</v>
      </c>
      <c r="T25" s="52"/>
      <c r="V25" s="47" t="s">
        <v>1</v>
      </c>
      <c r="W25" s="48" t="str">
        <f>IF(COUNTIF(O26:O55,"&gt;1")&gt;0,DATE(YEAR(MAX(O26:O55)),MONTH(MAX(O26:O55)),DAY(MAX(O26:O55))),"")</f>
        <v/>
      </c>
      <c r="X25" s="25" t="str" cm="1">
        <f t="array" ref="X25">IF(COUNTIF($O$26:$O$55,"&gt;1")&gt;0,HOUR(INDEX($O$26:$O$55,COUNTIF($O$26:$O$55,"&gt;1"),1)),"")</f>
        <v/>
      </c>
      <c r="Y25" s="26" t="str" cm="1">
        <f t="array" ref="Y25">IF(COUNTIF($O$26:$O$55,"&gt;1")&gt;0,MINUTE(INDEX($O$26:$O$55,COUNTIF($O$26:$O$55,"&gt;1"),1)),"")</f>
        <v/>
      </c>
    </row>
    <row r="26" spans="1:27" ht="21.75" customHeight="1">
      <c r="A26" s="31"/>
      <c r="B26" s="33"/>
      <c r="C26" s="33"/>
      <c r="D26" s="37">
        <v>1</v>
      </c>
      <c r="E26" s="40"/>
      <c r="F26" s="13"/>
      <c r="G26" s="14" t="str">
        <f>IF(F26=0,"",F26)</f>
        <v/>
      </c>
      <c r="H26" s="13"/>
      <c r="I26" s="14" t="str">
        <f>IF(H26=0,"",H26)</f>
        <v/>
      </c>
      <c r="J26" s="23" t="str">
        <f t="shared" ref="J26:J45" si="7">IFERROR(H26/F26,"")</f>
        <v/>
      </c>
      <c r="K26" s="56" t="str">
        <f t="shared" ref="K26:K55" si="8">IF(E26="","",IF(R26=0,$L$5,R26))</f>
        <v/>
      </c>
      <c r="L26" s="16"/>
      <c r="M26" s="17" t="str">
        <f t="shared" ref="M26:M55" si="9">IFERROR(F26/K26*L26*60,"")</f>
        <v/>
      </c>
      <c r="N26" s="18" t="str">
        <f>IFERROR(IF(W12+TIME(X12,Y12,0)=0,"",W12+TIME(X12,Y12,0)),"")</f>
        <v/>
      </c>
      <c r="O26" s="18" t="str">
        <f t="shared" ref="O26:O55" si="10">IFERROR(N26+F26/K26/24+M26/24/60,"")</f>
        <v/>
      </c>
      <c r="P26" s="13"/>
      <c r="Q26"/>
      <c r="R26" s="15"/>
      <c r="S26"/>
      <c r="T26" s="31"/>
      <c r="V26"/>
      <c r="W26"/>
      <c r="X26" s="7"/>
      <c r="Y26"/>
      <c r="Z26"/>
      <c r="AA26"/>
    </row>
    <row r="27" spans="1:27" ht="21.75" customHeight="1">
      <c r="A27" s="31"/>
      <c r="B27" s="33"/>
      <c r="C27" s="33"/>
      <c r="D27" s="37">
        <f>D26+1</f>
        <v>2</v>
      </c>
      <c r="E27" s="40"/>
      <c r="F27" s="13"/>
      <c r="G27" s="14" t="str">
        <f t="shared" ref="G27:I45" si="11">IF($E27="","",IFERROR(F27+G26,""))</f>
        <v/>
      </c>
      <c r="H27" s="13"/>
      <c r="I27" s="14" t="str">
        <f t="shared" si="11"/>
        <v/>
      </c>
      <c r="J27" s="23" t="str">
        <f t="shared" si="7"/>
        <v/>
      </c>
      <c r="K27" s="56" t="str">
        <f t="shared" si="8"/>
        <v/>
      </c>
      <c r="L27" s="16"/>
      <c r="M27" s="17" t="str">
        <f t="shared" si="9"/>
        <v/>
      </c>
      <c r="N27" s="18" t="str">
        <f t="shared" ref="N27:N55" si="12">IF(E27="","",IFERROR(O26+P26/60/24,""))</f>
        <v/>
      </c>
      <c r="O27" s="18" t="str">
        <f t="shared" si="10"/>
        <v/>
      </c>
      <c r="P27" s="13"/>
      <c r="Q27"/>
      <c r="R27" s="15"/>
      <c r="S27"/>
      <c r="T27" s="31"/>
      <c r="V27"/>
      <c r="W27"/>
      <c r="X27" s="7"/>
      <c r="Y27"/>
      <c r="Z27"/>
      <c r="AA27"/>
    </row>
    <row r="28" spans="1:27" ht="21.75" customHeight="1">
      <c r="A28" s="31"/>
      <c r="B28" s="33"/>
      <c r="C28" s="33"/>
      <c r="D28" s="37">
        <f t="shared" ref="D28:D45" si="13">D27+1</f>
        <v>3</v>
      </c>
      <c r="E28" s="41"/>
      <c r="F28" s="13"/>
      <c r="G28" s="14" t="str">
        <f t="shared" si="11"/>
        <v/>
      </c>
      <c r="H28" s="13"/>
      <c r="I28" s="14" t="str">
        <f t="shared" si="11"/>
        <v/>
      </c>
      <c r="J28" s="23" t="str">
        <f t="shared" si="7"/>
        <v/>
      </c>
      <c r="K28" s="56" t="str">
        <f t="shared" si="8"/>
        <v/>
      </c>
      <c r="L28" s="16"/>
      <c r="M28" s="17" t="str">
        <f t="shared" si="9"/>
        <v/>
      </c>
      <c r="N28" s="18" t="str">
        <f t="shared" si="12"/>
        <v/>
      </c>
      <c r="O28" s="18" t="str">
        <f t="shared" si="10"/>
        <v/>
      </c>
      <c r="P28" s="13"/>
      <c r="Q28"/>
      <c r="R28" s="15"/>
      <c r="S28"/>
      <c r="T28" s="31"/>
      <c r="V28"/>
      <c r="W28"/>
      <c r="X28" s="7"/>
      <c r="Y28"/>
      <c r="Z28"/>
      <c r="AA28"/>
    </row>
    <row r="29" spans="1:27" ht="21.75" customHeight="1">
      <c r="A29" s="31"/>
      <c r="B29" s="33"/>
      <c r="C29" s="33"/>
      <c r="D29" s="37">
        <f t="shared" si="13"/>
        <v>4</v>
      </c>
      <c r="E29" s="41"/>
      <c r="F29" s="13"/>
      <c r="G29" s="14" t="str">
        <f t="shared" si="11"/>
        <v/>
      </c>
      <c r="H29" s="13"/>
      <c r="I29" s="14" t="str">
        <f t="shared" si="11"/>
        <v/>
      </c>
      <c r="J29" s="23" t="str">
        <f t="shared" si="7"/>
        <v/>
      </c>
      <c r="K29" s="56" t="str">
        <f t="shared" si="8"/>
        <v/>
      </c>
      <c r="L29" s="16"/>
      <c r="M29" s="17" t="str">
        <f t="shared" si="9"/>
        <v/>
      </c>
      <c r="N29" s="18" t="str">
        <f t="shared" si="12"/>
        <v/>
      </c>
      <c r="O29" s="18" t="str">
        <f t="shared" si="10"/>
        <v/>
      </c>
      <c r="P29" s="13"/>
      <c r="Q29"/>
      <c r="R29" s="15"/>
      <c r="S29"/>
      <c r="T29" s="31"/>
      <c r="V29"/>
      <c r="W29"/>
      <c r="X29" s="7"/>
      <c r="Y29"/>
      <c r="Z29"/>
      <c r="AA29"/>
    </row>
    <row r="30" spans="1:27" ht="21.75" customHeight="1">
      <c r="A30" s="31"/>
      <c r="B30" s="33"/>
      <c r="C30" s="33"/>
      <c r="D30" s="37">
        <f t="shared" si="13"/>
        <v>5</v>
      </c>
      <c r="E30" s="41"/>
      <c r="F30" s="13"/>
      <c r="G30" s="14" t="str">
        <f t="shared" si="11"/>
        <v/>
      </c>
      <c r="H30" s="13"/>
      <c r="I30" s="14" t="str">
        <f t="shared" si="11"/>
        <v/>
      </c>
      <c r="J30" s="23" t="str">
        <f t="shared" si="7"/>
        <v/>
      </c>
      <c r="K30" s="56" t="str">
        <f t="shared" si="8"/>
        <v/>
      </c>
      <c r="L30" s="16"/>
      <c r="M30" s="17" t="str">
        <f t="shared" si="9"/>
        <v/>
      </c>
      <c r="N30" s="18" t="str">
        <f t="shared" si="12"/>
        <v/>
      </c>
      <c r="O30" s="18" t="str">
        <f t="shared" si="10"/>
        <v/>
      </c>
      <c r="P30" s="13"/>
      <c r="Q30"/>
      <c r="R30" s="15"/>
      <c r="S30"/>
      <c r="T30" s="31"/>
      <c r="V30"/>
      <c r="W30"/>
      <c r="X30" s="7"/>
      <c r="Y30"/>
      <c r="Z30"/>
      <c r="AA30"/>
    </row>
    <row r="31" spans="1:27" ht="21.75" customHeight="1">
      <c r="A31" s="31"/>
      <c r="B31" s="33"/>
      <c r="C31" s="33"/>
      <c r="D31" s="37">
        <f t="shared" si="13"/>
        <v>6</v>
      </c>
      <c r="E31" s="41"/>
      <c r="F31" s="13"/>
      <c r="G31" s="14" t="str">
        <f t="shared" si="11"/>
        <v/>
      </c>
      <c r="H31" s="13"/>
      <c r="I31" s="14" t="str">
        <f t="shared" si="11"/>
        <v/>
      </c>
      <c r="J31" s="23" t="str">
        <f t="shared" si="7"/>
        <v/>
      </c>
      <c r="K31" s="56" t="str">
        <f t="shared" si="8"/>
        <v/>
      </c>
      <c r="L31" s="16"/>
      <c r="M31" s="17" t="str">
        <f t="shared" si="9"/>
        <v/>
      </c>
      <c r="N31" s="18" t="str">
        <f t="shared" si="12"/>
        <v/>
      </c>
      <c r="O31" s="18" t="str">
        <f t="shared" si="10"/>
        <v/>
      </c>
      <c r="P31" s="13"/>
      <c r="Q31"/>
      <c r="R31" s="15"/>
      <c r="S31"/>
      <c r="T31" s="31"/>
      <c r="V31"/>
      <c r="W31"/>
      <c r="X31" s="7"/>
      <c r="Y31"/>
      <c r="Z31"/>
      <c r="AA31"/>
    </row>
    <row r="32" spans="1:27" ht="21.75" customHeight="1">
      <c r="A32" s="31"/>
      <c r="B32" s="33"/>
      <c r="C32" s="33"/>
      <c r="D32" s="37">
        <f t="shared" si="13"/>
        <v>7</v>
      </c>
      <c r="E32" s="41"/>
      <c r="F32" s="13"/>
      <c r="G32" s="14" t="str">
        <f t="shared" si="11"/>
        <v/>
      </c>
      <c r="H32" s="13"/>
      <c r="I32" s="14" t="str">
        <f t="shared" si="11"/>
        <v/>
      </c>
      <c r="J32" s="23" t="str">
        <f t="shared" si="7"/>
        <v/>
      </c>
      <c r="K32" s="56" t="str">
        <f t="shared" si="8"/>
        <v/>
      </c>
      <c r="L32" s="16"/>
      <c r="M32" s="17" t="str">
        <f t="shared" si="9"/>
        <v/>
      </c>
      <c r="N32" s="18" t="str">
        <f t="shared" si="12"/>
        <v/>
      </c>
      <c r="O32" s="18" t="str">
        <f t="shared" si="10"/>
        <v/>
      </c>
      <c r="P32" s="13"/>
      <c r="Q32"/>
      <c r="R32" s="15"/>
      <c r="S32"/>
      <c r="T32" s="31"/>
      <c r="V32"/>
      <c r="W32"/>
      <c r="X32" s="7"/>
      <c r="Y32"/>
      <c r="Z32"/>
      <c r="AA32"/>
    </row>
    <row r="33" spans="1:27" ht="21.75" customHeight="1">
      <c r="A33" s="31"/>
      <c r="B33" s="33"/>
      <c r="C33" s="33"/>
      <c r="D33" s="37">
        <f t="shared" si="13"/>
        <v>8</v>
      </c>
      <c r="E33" s="41"/>
      <c r="F33" s="13"/>
      <c r="G33" s="14" t="str">
        <f t="shared" si="11"/>
        <v/>
      </c>
      <c r="H33" s="13"/>
      <c r="I33" s="14" t="str">
        <f t="shared" si="11"/>
        <v/>
      </c>
      <c r="J33" s="23" t="str">
        <f t="shared" si="7"/>
        <v/>
      </c>
      <c r="K33" s="56" t="str">
        <f t="shared" si="8"/>
        <v/>
      </c>
      <c r="L33" s="16"/>
      <c r="M33" s="17" t="str">
        <f t="shared" si="9"/>
        <v/>
      </c>
      <c r="N33" s="18" t="str">
        <f t="shared" si="12"/>
        <v/>
      </c>
      <c r="O33" s="18" t="str">
        <f t="shared" si="10"/>
        <v/>
      </c>
      <c r="P33" s="13"/>
      <c r="Q33"/>
      <c r="R33" s="15"/>
      <c r="S33"/>
      <c r="T33" s="31"/>
      <c r="V33"/>
      <c r="W33"/>
      <c r="X33" s="7"/>
      <c r="Y33"/>
      <c r="Z33"/>
      <c r="AA33"/>
    </row>
    <row r="34" spans="1:27" ht="21.75" customHeight="1">
      <c r="A34" s="31"/>
      <c r="B34" s="33"/>
      <c r="C34" s="33"/>
      <c r="D34" s="37">
        <f t="shared" si="13"/>
        <v>9</v>
      </c>
      <c r="E34" s="41"/>
      <c r="F34" s="13"/>
      <c r="G34" s="14" t="str">
        <f t="shared" si="11"/>
        <v/>
      </c>
      <c r="H34" s="13"/>
      <c r="I34" s="14" t="str">
        <f t="shared" si="11"/>
        <v/>
      </c>
      <c r="J34" s="23" t="str">
        <f t="shared" si="7"/>
        <v/>
      </c>
      <c r="K34" s="56" t="str">
        <f t="shared" si="8"/>
        <v/>
      </c>
      <c r="L34" s="16"/>
      <c r="M34" s="17" t="str">
        <f t="shared" si="9"/>
        <v/>
      </c>
      <c r="N34" s="18" t="str">
        <f t="shared" si="12"/>
        <v/>
      </c>
      <c r="O34" s="18" t="str">
        <f t="shared" si="10"/>
        <v/>
      </c>
      <c r="P34" s="13"/>
      <c r="Q34"/>
      <c r="R34" s="15"/>
      <c r="S34"/>
      <c r="T34" s="31"/>
      <c r="V34"/>
      <c r="W34"/>
      <c r="X34" s="7"/>
      <c r="Y34"/>
      <c r="Z34"/>
      <c r="AA34"/>
    </row>
    <row r="35" spans="1:27" ht="21.75" customHeight="1">
      <c r="A35" s="31"/>
      <c r="B35" s="33"/>
      <c r="C35" s="33"/>
      <c r="D35" s="37">
        <f t="shared" si="13"/>
        <v>10</v>
      </c>
      <c r="E35" s="41"/>
      <c r="F35" s="13"/>
      <c r="G35" s="14" t="str">
        <f t="shared" si="11"/>
        <v/>
      </c>
      <c r="H35" s="13"/>
      <c r="I35" s="14" t="str">
        <f t="shared" si="11"/>
        <v/>
      </c>
      <c r="J35" s="23" t="str">
        <f t="shared" si="7"/>
        <v/>
      </c>
      <c r="K35" s="56" t="str">
        <f t="shared" si="8"/>
        <v/>
      </c>
      <c r="L35" s="16"/>
      <c r="M35" s="17" t="str">
        <f t="shared" si="9"/>
        <v/>
      </c>
      <c r="N35" s="18" t="str">
        <f t="shared" si="12"/>
        <v/>
      </c>
      <c r="O35" s="18" t="str">
        <f t="shared" si="10"/>
        <v/>
      </c>
      <c r="P35" s="13"/>
      <c r="Q35"/>
      <c r="R35" s="15"/>
      <c r="S35"/>
      <c r="T35" s="31"/>
      <c r="V35"/>
      <c r="W35"/>
      <c r="X35" s="7"/>
      <c r="Y35"/>
      <c r="Z35"/>
      <c r="AA35"/>
    </row>
    <row r="36" spans="1:27" ht="21.75" customHeight="1">
      <c r="A36" s="31"/>
      <c r="B36" s="33"/>
      <c r="C36" s="33"/>
      <c r="D36" s="37">
        <f t="shared" si="13"/>
        <v>11</v>
      </c>
      <c r="E36" s="41"/>
      <c r="F36" s="13"/>
      <c r="G36" s="14" t="str">
        <f t="shared" si="11"/>
        <v/>
      </c>
      <c r="H36" s="13"/>
      <c r="I36" s="14" t="str">
        <f t="shared" si="11"/>
        <v/>
      </c>
      <c r="J36" s="23" t="str">
        <f t="shared" si="7"/>
        <v/>
      </c>
      <c r="K36" s="56" t="str">
        <f t="shared" si="8"/>
        <v/>
      </c>
      <c r="L36" s="16"/>
      <c r="M36" s="17" t="str">
        <f t="shared" si="9"/>
        <v/>
      </c>
      <c r="N36" s="18" t="str">
        <f t="shared" si="12"/>
        <v/>
      </c>
      <c r="O36" s="18" t="str">
        <f t="shared" si="10"/>
        <v/>
      </c>
      <c r="P36" s="13"/>
      <c r="Q36"/>
      <c r="R36" s="15"/>
      <c r="S36"/>
      <c r="T36" s="31"/>
      <c r="V36"/>
      <c r="W36"/>
      <c r="X36" s="7"/>
      <c r="Y36"/>
      <c r="Z36"/>
      <c r="AA36"/>
    </row>
    <row r="37" spans="1:27" ht="21.75" customHeight="1">
      <c r="A37" s="31"/>
      <c r="B37" s="33"/>
      <c r="C37" s="33"/>
      <c r="D37" s="37">
        <f t="shared" si="13"/>
        <v>12</v>
      </c>
      <c r="E37" s="41"/>
      <c r="F37" s="13"/>
      <c r="G37" s="14" t="str">
        <f t="shared" si="11"/>
        <v/>
      </c>
      <c r="H37" s="13"/>
      <c r="I37" s="14" t="str">
        <f t="shared" si="11"/>
        <v/>
      </c>
      <c r="J37" s="23" t="str">
        <f t="shared" si="7"/>
        <v/>
      </c>
      <c r="K37" s="56" t="str">
        <f t="shared" si="8"/>
        <v/>
      </c>
      <c r="L37" s="16"/>
      <c r="M37" s="17" t="str">
        <f t="shared" si="9"/>
        <v/>
      </c>
      <c r="N37" s="18" t="str">
        <f t="shared" si="12"/>
        <v/>
      </c>
      <c r="O37" s="18" t="str">
        <f t="shared" si="10"/>
        <v/>
      </c>
      <c r="P37" s="13"/>
      <c r="Q37"/>
      <c r="R37" s="15"/>
      <c r="S37"/>
      <c r="T37" s="31"/>
      <c r="V37"/>
      <c r="W37"/>
      <c r="X37" s="7"/>
      <c r="Y37"/>
      <c r="Z37"/>
      <c r="AA37"/>
    </row>
    <row r="38" spans="1:27" ht="21.75" customHeight="1">
      <c r="A38" s="31"/>
      <c r="B38" s="33"/>
      <c r="C38" s="33"/>
      <c r="D38" s="37">
        <f t="shared" si="13"/>
        <v>13</v>
      </c>
      <c r="E38" s="41"/>
      <c r="F38" s="13"/>
      <c r="G38" s="14" t="str">
        <f t="shared" si="11"/>
        <v/>
      </c>
      <c r="H38" s="13"/>
      <c r="I38" s="14" t="str">
        <f t="shared" si="11"/>
        <v/>
      </c>
      <c r="J38" s="23" t="str">
        <f t="shared" si="7"/>
        <v/>
      </c>
      <c r="K38" s="56" t="str">
        <f t="shared" si="8"/>
        <v/>
      </c>
      <c r="L38" s="16"/>
      <c r="M38" s="17" t="str">
        <f t="shared" si="9"/>
        <v/>
      </c>
      <c r="N38" s="18" t="str">
        <f t="shared" si="12"/>
        <v/>
      </c>
      <c r="O38" s="18" t="str">
        <f t="shared" si="10"/>
        <v/>
      </c>
      <c r="P38" s="13"/>
      <c r="Q38"/>
      <c r="R38" s="15"/>
      <c r="S38"/>
      <c r="T38" s="31"/>
      <c r="V38"/>
      <c r="W38"/>
      <c r="X38" s="7"/>
      <c r="Y38"/>
      <c r="Z38"/>
      <c r="AA38"/>
    </row>
    <row r="39" spans="1:27" ht="21.75" customHeight="1">
      <c r="A39" s="31"/>
      <c r="B39" s="33"/>
      <c r="C39" s="33"/>
      <c r="D39" s="37">
        <f t="shared" si="13"/>
        <v>14</v>
      </c>
      <c r="E39" s="41"/>
      <c r="F39" s="13"/>
      <c r="G39" s="14" t="str">
        <f t="shared" si="11"/>
        <v/>
      </c>
      <c r="H39" s="13"/>
      <c r="I39" s="14" t="str">
        <f t="shared" si="11"/>
        <v/>
      </c>
      <c r="J39" s="23" t="str">
        <f t="shared" si="7"/>
        <v/>
      </c>
      <c r="K39" s="56" t="str">
        <f t="shared" si="8"/>
        <v/>
      </c>
      <c r="L39" s="16"/>
      <c r="M39" s="17" t="str">
        <f t="shared" si="9"/>
        <v/>
      </c>
      <c r="N39" s="18" t="str">
        <f t="shared" si="12"/>
        <v/>
      </c>
      <c r="O39" s="18" t="str">
        <f t="shared" si="10"/>
        <v/>
      </c>
      <c r="P39" s="13"/>
      <c r="Q39"/>
      <c r="R39" s="15"/>
      <c r="S39"/>
      <c r="T39" s="31"/>
      <c r="V39"/>
      <c r="W39"/>
      <c r="X39" s="7"/>
      <c r="Y39"/>
      <c r="Z39"/>
      <c r="AA39"/>
    </row>
    <row r="40" spans="1:27" ht="21.75" customHeight="1">
      <c r="A40" s="31"/>
      <c r="B40" s="33"/>
      <c r="C40" s="33"/>
      <c r="D40" s="37">
        <f t="shared" si="13"/>
        <v>15</v>
      </c>
      <c r="E40" s="41"/>
      <c r="F40" s="13"/>
      <c r="G40" s="14" t="str">
        <f t="shared" si="11"/>
        <v/>
      </c>
      <c r="H40" s="13"/>
      <c r="I40" s="14" t="str">
        <f t="shared" si="11"/>
        <v/>
      </c>
      <c r="J40" s="23" t="str">
        <f t="shared" si="7"/>
        <v/>
      </c>
      <c r="K40" s="56" t="str">
        <f t="shared" si="8"/>
        <v/>
      </c>
      <c r="L40" s="16"/>
      <c r="M40" s="17" t="str">
        <f t="shared" si="9"/>
        <v/>
      </c>
      <c r="N40" s="18" t="str">
        <f t="shared" si="12"/>
        <v/>
      </c>
      <c r="O40" s="18" t="str">
        <f t="shared" si="10"/>
        <v/>
      </c>
      <c r="P40" s="13"/>
      <c r="Q40"/>
      <c r="R40" s="15"/>
      <c r="S40"/>
      <c r="T40" s="31"/>
      <c r="V40"/>
      <c r="W40"/>
      <c r="X40" s="7"/>
      <c r="Y40"/>
      <c r="Z40"/>
      <c r="AA40"/>
    </row>
    <row r="41" spans="1:27" ht="21.75" customHeight="1">
      <c r="A41" s="31"/>
      <c r="B41" s="33"/>
      <c r="C41" s="33"/>
      <c r="D41" s="37">
        <f t="shared" si="13"/>
        <v>16</v>
      </c>
      <c r="E41" s="41"/>
      <c r="F41" s="13"/>
      <c r="G41" s="14" t="str">
        <f t="shared" si="11"/>
        <v/>
      </c>
      <c r="H41" s="13"/>
      <c r="I41" s="14" t="str">
        <f t="shared" si="11"/>
        <v/>
      </c>
      <c r="J41" s="23" t="str">
        <f t="shared" si="7"/>
        <v/>
      </c>
      <c r="K41" s="56" t="str">
        <f t="shared" si="8"/>
        <v/>
      </c>
      <c r="L41" s="16"/>
      <c r="M41" s="17" t="str">
        <f t="shared" si="9"/>
        <v/>
      </c>
      <c r="N41" s="18" t="str">
        <f t="shared" si="12"/>
        <v/>
      </c>
      <c r="O41" s="18" t="str">
        <f t="shared" si="10"/>
        <v/>
      </c>
      <c r="P41" s="13"/>
      <c r="Q41"/>
      <c r="R41" s="15"/>
      <c r="S41"/>
      <c r="T41" s="31"/>
      <c r="V41"/>
      <c r="W41"/>
      <c r="X41" s="7"/>
      <c r="Y41"/>
      <c r="Z41"/>
      <c r="AA41"/>
    </row>
    <row r="42" spans="1:27" ht="21.75" customHeight="1">
      <c r="A42" s="31"/>
      <c r="B42" s="33"/>
      <c r="C42" s="33"/>
      <c r="D42" s="37">
        <f t="shared" si="13"/>
        <v>17</v>
      </c>
      <c r="E42" s="41"/>
      <c r="F42" s="13"/>
      <c r="G42" s="14" t="str">
        <f t="shared" si="11"/>
        <v/>
      </c>
      <c r="H42" s="13"/>
      <c r="I42" s="14" t="str">
        <f t="shared" si="11"/>
        <v/>
      </c>
      <c r="J42" s="23" t="str">
        <f t="shared" si="7"/>
        <v/>
      </c>
      <c r="K42" s="56" t="str">
        <f t="shared" si="8"/>
        <v/>
      </c>
      <c r="L42" s="16"/>
      <c r="M42" s="17" t="str">
        <f t="shared" si="9"/>
        <v/>
      </c>
      <c r="N42" s="18" t="str">
        <f t="shared" si="12"/>
        <v/>
      </c>
      <c r="O42" s="18" t="str">
        <f t="shared" si="10"/>
        <v/>
      </c>
      <c r="P42" s="13"/>
      <c r="Q42"/>
      <c r="R42" s="15"/>
      <c r="S42"/>
      <c r="T42" s="31"/>
      <c r="V42"/>
      <c r="W42"/>
      <c r="X42" s="7"/>
      <c r="Y42"/>
      <c r="Z42"/>
      <c r="AA42"/>
    </row>
    <row r="43" spans="1:27" ht="21.75" customHeight="1">
      <c r="A43" s="31"/>
      <c r="B43" s="33"/>
      <c r="C43" s="33"/>
      <c r="D43" s="37">
        <f t="shared" si="13"/>
        <v>18</v>
      </c>
      <c r="E43" s="41"/>
      <c r="F43" s="13"/>
      <c r="G43" s="14" t="str">
        <f t="shared" si="11"/>
        <v/>
      </c>
      <c r="H43" s="13"/>
      <c r="I43" s="14" t="str">
        <f t="shared" si="11"/>
        <v/>
      </c>
      <c r="J43" s="23" t="str">
        <f t="shared" si="7"/>
        <v/>
      </c>
      <c r="K43" s="56" t="str">
        <f t="shared" si="8"/>
        <v/>
      </c>
      <c r="L43" s="16"/>
      <c r="M43" s="17" t="str">
        <f t="shared" si="9"/>
        <v/>
      </c>
      <c r="N43" s="18" t="str">
        <f t="shared" si="12"/>
        <v/>
      </c>
      <c r="O43" s="18" t="str">
        <f t="shared" si="10"/>
        <v/>
      </c>
      <c r="P43" s="13"/>
      <c r="Q43"/>
      <c r="R43" s="15"/>
      <c r="S43"/>
      <c r="T43" s="31"/>
      <c r="V43"/>
      <c r="W43"/>
      <c r="X43" s="7"/>
      <c r="Y43"/>
      <c r="Z43"/>
      <c r="AA43"/>
    </row>
    <row r="44" spans="1:27" ht="21.75" customHeight="1">
      <c r="A44" s="31"/>
      <c r="B44" s="33"/>
      <c r="C44" s="33"/>
      <c r="D44" s="37">
        <f t="shared" si="13"/>
        <v>19</v>
      </c>
      <c r="E44" s="41"/>
      <c r="F44" s="13"/>
      <c r="G44" s="14" t="str">
        <f t="shared" si="11"/>
        <v/>
      </c>
      <c r="H44" s="13"/>
      <c r="I44" s="14" t="str">
        <f t="shared" si="11"/>
        <v/>
      </c>
      <c r="J44" s="23" t="str">
        <f t="shared" si="7"/>
        <v/>
      </c>
      <c r="K44" s="56" t="str">
        <f t="shared" si="8"/>
        <v/>
      </c>
      <c r="L44" s="16"/>
      <c r="M44" s="17" t="str">
        <f t="shared" si="9"/>
        <v/>
      </c>
      <c r="N44" s="18" t="str">
        <f t="shared" si="12"/>
        <v/>
      </c>
      <c r="O44" s="18" t="str">
        <f t="shared" si="10"/>
        <v/>
      </c>
      <c r="P44" s="13"/>
      <c r="Q44"/>
      <c r="R44" s="15"/>
      <c r="S44"/>
      <c r="T44" s="31"/>
      <c r="V44"/>
      <c r="W44"/>
      <c r="X44" s="7"/>
      <c r="Y44"/>
      <c r="Z44"/>
      <c r="AA44"/>
    </row>
    <row r="45" spans="1:27" ht="21.75" customHeight="1">
      <c r="A45" s="31"/>
      <c r="B45" s="33"/>
      <c r="C45" s="33"/>
      <c r="D45" s="37">
        <f t="shared" si="13"/>
        <v>20</v>
      </c>
      <c r="E45" s="41"/>
      <c r="F45" s="13"/>
      <c r="G45" s="14" t="str">
        <f t="shared" si="11"/>
        <v/>
      </c>
      <c r="H45" s="13"/>
      <c r="I45" s="14" t="str">
        <f t="shared" si="11"/>
        <v/>
      </c>
      <c r="J45" s="23" t="str">
        <f t="shared" si="7"/>
        <v/>
      </c>
      <c r="K45" s="56" t="str">
        <f t="shared" si="8"/>
        <v/>
      </c>
      <c r="L45" s="16"/>
      <c r="M45" s="17" t="str">
        <f t="shared" si="9"/>
        <v/>
      </c>
      <c r="N45" s="18" t="str">
        <f t="shared" si="12"/>
        <v/>
      </c>
      <c r="O45" s="18" t="str">
        <f t="shared" si="10"/>
        <v/>
      </c>
      <c r="P45" s="13"/>
      <c r="Q45"/>
      <c r="R45" s="15"/>
      <c r="S45"/>
      <c r="T45" s="31"/>
      <c r="V45"/>
      <c r="W45"/>
      <c r="X45" s="7"/>
      <c r="Y45"/>
      <c r="Z45"/>
      <c r="AA45"/>
    </row>
    <row r="46" spans="1:27" ht="21.75" customHeight="1">
      <c r="A46" s="31"/>
      <c r="B46" s="33"/>
      <c r="C46" s="33"/>
      <c r="D46" s="37">
        <f t="shared" ref="D46:D55" si="14">D45+1</f>
        <v>21</v>
      </c>
      <c r="E46" s="41"/>
      <c r="F46" s="13"/>
      <c r="G46" s="14" t="str">
        <f t="shared" ref="G46:G55" si="15">IF($E46="","",IFERROR(F46+G45,""))</f>
        <v/>
      </c>
      <c r="H46" s="13"/>
      <c r="I46" s="14" t="str">
        <f t="shared" ref="I46:I55" si="16">IF($E46="","",IFERROR(H46+I45,""))</f>
        <v/>
      </c>
      <c r="J46" s="23" t="str">
        <f t="shared" ref="J46:J55" si="17">IFERROR(H46/F46,"")</f>
        <v/>
      </c>
      <c r="K46" s="56" t="str">
        <f t="shared" si="8"/>
        <v/>
      </c>
      <c r="L46" s="16"/>
      <c r="M46" s="17" t="str">
        <f t="shared" si="9"/>
        <v/>
      </c>
      <c r="N46" s="18" t="str">
        <f t="shared" si="12"/>
        <v/>
      </c>
      <c r="O46" s="18" t="str">
        <f t="shared" si="10"/>
        <v/>
      </c>
      <c r="P46" s="13"/>
      <c r="Q46"/>
      <c r="R46" s="15"/>
      <c r="S46"/>
      <c r="T46" s="31"/>
      <c r="V46"/>
      <c r="W46"/>
      <c r="X46" s="7"/>
      <c r="Y46"/>
      <c r="Z46"/>
      <c r="AA46"/>
    </row>
    <row r="47" spans="1:27" ht="21.75" customHeight="1">
      <c r="A47" s="31"/>
      <c r="B47" s="33"/>
      <c r="C47" s="33"/>
      <c r="D47" s="37">
        <f t="shared" si="14"/>
        <v>22</v>
      </c>
      <c r="E47" s="41"/>
      <c r="F47" s="13"/>
      <c r="G47" s="14" t="str">
        <f t="shared" si="15"/>
        <v/>
      </c>
      <c r="H47" s="13"/>
      <c r="I47" s="14" t="str">
        <f t="shared" si="16"/>
        <v/>
      </c>
      <c r="J47" s="23" t="str">
        <f t="shared" si="17"/>
        <v/>
      </c>
      <c r="K47" s="56" t="str">
        <f t="shared" si="8"/>
        <v/>
      </c>
      <c r="L47" s="16"/>
      <c r="M47" s="17" t="str">
        <f t="shared" si="9"/>
        <v/>
      </c>
      <c r="N47" s="18" t="str">
        <f t="shared" si="12"/>
        <v/>
      </c>
      <c r="O47" s="18" t="str">
        <f t="shared" si="10"/>
        <v/>
      </c>
      <c r="P47" s="13"/>
      <c r="Q47"/>
      <c r="R47" s="15"/>
      <c r="S47"/>
      <c r="T47" s="31"/>
      <c r="V47"/>
      <c r="W47"/>
      <c r="X47" s="7"/>
      <c r="Y47"/>
      <c r="Z47"/>
      <c r="AA47"/>
    </row>
    <row r="48" spans="1:27" ht="21.75" customHeight="1">
      <c r="A48" s="31"/>
      <c r="B48" s="33"/>
      <c r="C48" s="33"/>
      <c r="D48" s="37">
        <f t="shared" si="14"/>
        <v>23</v>
      </c>
      <c r="E48" s="41"/>
      <c r="F48" s="13"/>
      <c r="G48" s="14" t="str">
        <f t="shared" si="15"/>
        <v/>
      </c>
      <c r="H48" s="13"/>
      <c r="I48" s="14" t="str">
        <f t="shared" si="16"/>
        <v/>
      </c>
      <c r="J48" s="23" t="str">
        <f t="shared" si="17"/>
        <v/>
      </c>
      <c r="K48" s="56" t="str">
        <f t="shared" si="8"/>
        <v/>
      </c>
      <c r="L48" s="16"/>
      <c r="M48" s="17" t="str">
        <f t="shared" si="9"/>
        <v/>
      </c>
      <c r="N48" s="18" t="str">
        <f t="shared" si="12"/>
        <v/>
      </c>
      <c r="O48" s="18" t="str">
        <f t="shared" si="10"/>
        <v/>
      </c>
      <c r="P48" s="13"/>
      <c r="Q48"/>
      <c r="R48" s="15"/>
      <c r="S48"/>
      <c r="T48" s="31"/>
      <c r="V48"/>
      <c r="W48"/>
      <c r="X48" s="7"/>
      <c r="Y48"/>
      <c r="Z48"/>
      <c r="AA48"/>
    </row>
    <row r="49" spans="1:27" ht="21.75" customHeight="1">
      <c r="A49" s="31"/>
      <c r="B49" s="33"/>
      <c r="C49" s="33"/>
      <c r="D49" s="37">
        <f t="shared" si="14"/>
        <v>24</v>
      </c>
      <c r="E49" s="41"/>
      <c r="F49" s="13"/>
      <c r="G49" s="14" t="str">
        <f t="shared" si="15"/>
        <v/>
      </c>
      <c r="H49" s="13"/>
      <c r="I49" s="14" t="str">
        <f t="shared" si="16"/>
        <v/>
      </c>
      <c r="J49" s="23" t="str">
        <f t="shared" si="17"/>
        <v/>
      </c>
      <c r="K49" s="56" t="str">
        <f t="shared" si="8"/>
        <v/>
      </c>
      <c r="L49" s="16"/>
      <c r="M49" s="17" t="str">
        <f t="shared" si="9"/>
        <v/>
      </c>
      <c r="N49" s="18" t="str">
        <f t="shared" si="12"/>
        <v/>
      </c>
      <c r="O49" s="18" t="str">
        <f t="shared" si="10"/>
        <v/>
      </c>
      <c r="P49" s="13"/>
      <c r="Q49"/>
      <c r="R49" s="15"/>
      <c r="S49"/>
      <c r="T49" s="31"/>
      <c r="V49"/>
      <c r="W49"/>
      <c r="X49" s="7"/>
      <c r="Y49"/>
      <c r="Z49"/>
      <c r="AA49"/>
    </row>
    <row r="50" spans="1:27" ht="21.75" customHeight="1">
      <c r="A50" s="31"/>
      <c r="B50" s="33"/>
      <c r="C50" s="33"/>
      <c r="D50" s="37">
        <f t="shared" si="14"/>
        <v>25</v>
      </c>
      <c r="E50" s="41"/>
      <c r="F50" s="13"/>
      <c r="G50" s="14" t="str">
        <f t="shared" si="15"/>
        <v/>
      </c>
      <c r="H50" s="13"/>
      <c r="I50" s="14" t="str">
        <f t="shared" si="16"/>
        <v/>
      </c>
      <c r="J50" s="23" t="str">
        <f t="shared" si="17"/>
        <v/>
      </c>
      <c r="K50" s="56" t="str">
        <f t="shared" si="8"/>
        <v/>
      </c>
      <c r="L50" s="16"/>
      <c r="M50" s="17" t="str">
        <f t="shared" si="9"/>
        <v/>
      </c>
      <c r="N50" s="18" t="str">
        <f t="shared" si="12"/>
        <v/>
      </c>
      <c r="O50" s="18" t="str">
        <f t="shared" si="10"/>
        <v/>
      </c>
      <c r="P50" s="13"/>
      <c r="Q50"/>
      <c r="R50" s="15"/>
      <c r="S50"/>
      <c r="T50" s="31"/>
      <c r="V50"/>
      <c r="W50"/>
      <c r="X50" s="7"/>
      <c r="Y50"/>
      <c r="Z50"/>
      <c r="AA50"/>
    </row>
    <row r="51" spans="1:27" ht="21.75" customHeight="1">
      <c r="A51" s="31"/>
      <c r="B51" s="33"/>
      <c r="C51" s="33"/>
      <c r="D51" s="37">
        <f t="shared" si="14"/>
        <v>26</v>
      </c>
      <c r="E51" s="41"/>
      <c r="F51" s="13"/>
      <c r="G51" s="14" t="str">
        <f t="shared" si="15"/>
        <v/>
      </c>
      <c r="H51" s="13"/>
      <c r="I51" s="14" t="str">
        <f t="shared" si="16"/>
        <v/>
      </c>
      <c r="J51" s="23" t="str">
        <f t="shared" si="17"/>
        <v/>
      </c>
      <c r="K51" s="56" t="str">
        <f t="shared" si="8"/>
        <v/>
      </c>
      <c r="L51" s="16"/>
      <c r="M51" s="17" t="str">
        <f t="shared" si="9"/>
        <v/>
      </c>
      <c r="N51" s="18" t="str">
        <f t="shared" si="12"/>
        <v/>
      </c>
      <c r="O51" s="18" t="str">
        <f t="shared" si="10"/>
        <v/>
      </c>
      <c r="P51" s="13"/>
      <c r="Q51"/>
      <c r="R51" s="15"/>
      <c r="S51"/>
      <c r="T51" s="31"/>
      <c r="V51"/>
      <c r="W51"/>
      <c r="X51" s="7"/>
      <c r="Y51"/>
      <c r="Z51"/>
      <c r="AA51"/>
    </row>
    <row r="52" spans="1:27" ht="21.75" customHeight="1">
      <c r="A52" s="31"/>
      <c r="B52" s="33"/>
      <c r="C52" s="33"/>
      <c r="D52" s="37">
        <f t="shared" si="14"/>
        <v>27</v>
      </c>
      <c r="E52" s="41"/>
      <c r="F52" s="13"/>
      <c r="G52" s="14" t="str">
        <f t="shared" si="15"/>
        <v/>
      </c>
      <c r="H52" s="13"/>
      <c r="I52" s="14" t="str">
        <f t="shared" si="16"/>
        <v/>
      </c>
      <c r="J52" s="23" t="str">
        <f t="shared" si="17"/>
        <v/>
      </c>
      <c r="K52" s="56" t="str">
        <f t="shared" si="8"/>
        <v/>
      </c>
      <c r="L52" s="16"/>
      <c r="M52" s="17" t="str">
        <f t="shared" si="9"/>
        <v/>
      </c>
      <c r="N52" s="18" t="str">
        <f t="shared" si="12"/>
        <v/>
      </c>
      <c r="O52" s="18" t="str">
        <f t="shared" si="10"/>
        <v/>
      </c>
      <c r="P52" s="13"/>
      <c r="Q52"/>
      <c r="R52" s="15"/>
      <c r="S52"/>
      <c r="T52" s="31"/>
      <c r="V52"/>
      <c r="W52"/>
      <c r="X52" s="7"/>
      <c r="Y52"/>
      <c r="Z52"/>
      <c r="AA52"/>
    </row>
    <row r="53" spans="1:27" ht="21.75" customHeight="1">
      <c r="A53" s="31"/>
      <c r="B53" s="33"/>
      <c r="C53" s="33"/>
      <c r="D53" s="37">
        <f t="shared" si="14"/>
        <v>28</v>
      </c>
      <c r="E53" s="41"/>
      <c r="F53" s="13"/>
      <c r="G53" s="14" t="str">
        <f t="shared" si="15"/>
        <v/>
      </c>
      <c r="H53" s="13"/>
      <c r="I53" s="14" t="str">
        <f t="shared" si="16"/>
        <v/>
      </c>
      <c r="J53" s="23" t="str">
        <f t="shared" si="17"/>
        <v/>
      </c>
      <c r="K53" s="56" t="str">
        <f t="shared" si="8"/>
        <v/>
      </c>
      <c r="L53" s="16"/>
      <c r="M53" s="17" t="str">
        <f t="shared" si="9"/>
        <v/>
      </c>
      <c r="N53" s="18" t="str">
        <f t="shared" si="12"/>
        <v/>
      </c>
      <c r="O53" s="18" t="str">
        <f t="shared" si="10"/>
        <v/>
      </c>
      <c r="P53" s="13"/>
      <c r="Q53"/>
      <c r="R53" s="15"/>
      <c r="S53"/>
      <c r="T53" s="31"/>
      <c r="V53"/>
      <c r="W53"/>
      <c r="X53" s="7"/>
      <c r="Y53"/>
      <c r="Z53"/>
      <c r="AA53"/>
    </row>
    <row r="54" spans="1:27" ht="21.75" customHeight="1">
      <c r="A54" s="31"/>
      <c r="B54" s="33"/>
      <c r="C54" s="33"/>
      <c r="D54" s="37">
        <f t="shared" si="14"/>
        <v>29</v>
      </c>
      <c r="E54" s="41"/>
      <c r="F54" s="13"/>
      <c r="G54" s="14" t="str">
        <f t="shared" si="15"/>
        <v/>
      </c>
      <c r="H54" s="13"/>
      <c r="I54" s="14" t="str">
        <f t="shared" si="16"/>
        <v/>
      </c>
      <c r="J54" s="23" t="str">
        <f t="shared" si="17"/>
        <v/>
      </c>
      <c r="K54" s="56" t="str">
        <f t="shared" si="8"/>
        <v/>
      </c>
      <c r="L54" s="16"/>
      <c r="M54" s="17" t="str">
        <f t="shared" si="9"/>
        <v/>
      </c>
      <c r="N54" s="18" t="str">
        <f t="shared" si="12"/>
        <v/>
      </c>
      <c r="O54" s="18" t="str">
        <f t="shared" si="10"/>
        <v/>
      </c>
      <c r="P54" s="13"/>
      <c r="Q54"/>
      <c r="R54" s="15"/>
      <c r="S54"/>
      <c r="T54" s="31"/>
      <c r="V54"/>
      <c r="W54"/>
      <c r="X54" s="7"/>
      <c r="Y54"/>
      <c r="Z54"/>
      <c r="AA54"/>
    </row>
    <row r="55" spans="1:27" ht="21.75" customHeight="1">
      <c r="A55" s="31"/>
      <c r="B55" s="33"/>
      <c r="C55" s="33"/>
      <c r="D55" s="37">
        <f t="shared" si="14"/>
        <v>30</v>
      </c>
      <c r="E55" s="41"/>
      <c r="F55" s="13"/>
      <c r="G55" s="14" t="str">
        <f t="shared" si="15"/>
        <v/>
      </c>
      <c r="H55" s="13"/>
      <c r="I55" s="14" t="str">
        <f t="shared" si="16"/>
        <v/>
      </c>
      <c r="J55" s="23" t="str">
        <f t="shared" si="17"/>
        <v/>
      </c>
      <c r="K55" s="56" t="str">
        <f t="shared" si="8"/>
        <v/>
      </c>
      <c r="L55" s="16"/>
      <c r="M55" s="17" t="str">
        <f t="shared" si="9"/>
        <v/>
      </c>
      <c r="N55" s="18" t="str">
        <f t="shared" si="12"/>
        <v/>
      </c>
      <c r="O55" s="18" t="str">
        <f t="shared" si="10"/>
        <v/>
      </c>
      <c r="P55" s="13"/>
      <c r="Q55"/>
      <c r="R55" s="15"/>
      <c r="S55"/>
      <c r="T55" s="31"/>
      <c r="V55"/>
      <c r="W55"/>
      <c r="X55" s="7"/>
      <c r="Y55"/>
      <c r="Z55"/>
      <c r="AA55"/>
    </row>
    <row r="56" spans="1:27" s="19" customFormat="1" ht="12">
      <c r="A56" s="32"/>
      <c r="P56" s="21" t="s">
        <v>395</v>
      </c>
      <c r="T56" s="32"/>
    </row>
    <row r="57" spans="1:27" ht="6.75" customHeight="1">
      <c r="A57" s="31"/>
      <c r="B57" s="31"/>
      <c r="C57" s="31"/>
      <c r="D57" s="31"/>
      <c r="E57" s="31"/>
      <c r="F57" s="31"/>
      <c r="G57" s="31"/>
      <c r="H57" s="31"/>
      <c r="I57" s="31"/>
      <c r="J57" s="31"/>
      <c r="K57" s="31"/>
      <c r="L57" s="31"/>
      <c r="M57" s="31"/>
      <c r="N57" s="31"/>
      <c r="O57" s="31"/>
      <c r="P57" s="31"/>
      <c r="Q57" s="31"/>
      <c r="R57" s="31"/>
      <c r="S57" s="31"/>
      <c r="T57" s="31"/>
    </row>
  </sheetData>
  <sheetProtection algorithmName="SHA-512" hashValue="GLYEMG9kpFoxqugKWd0x9KPgJleCkbO1eJ3hQxF7M3iIIN63e9uvoG/qy2o8dqUSOXJ4CHDQ41RqMxfGb3j8bg==" saltValue="72QV2HC/tptzk4yGK5a/8A==" spinCount="100000" sheet="1" objects="1" scenarios="1"/>
  <sortState xmlns:xlrd2="http://schemas.microsoft.com/office/spreadsheetml/2017/richdata2" ref="U8:U38">
    <sortCondition ref="U38"/>
  </sortState>
  <dataConsolidate/>
  <mergeCells count="8">
    <mergeCell ref="H12:J12"/>
    <mergeCell ref="H24:J24"/>
    <mergeCell ref="K12:O12"/>
    <mergeCell ref="K24:O24"/>
    <mergeCell ref="D24:E24"/>
    <mergeCell ref="F24:G24"/>
    <mergeCell ref="D12:E12"/>
    <mergeCell ref="F12:G12"/>
  </mergeCells>
  <conditionalFormatting sqref="D14:P21 R14:R21">
    <cfRule type="expression" dxfId="21" priority="3">
      <formula>$D14=""</formula>
    </cfRule>
  </conditionalFormatting>
  <conditionalFormatting sqref="I5">
    <cfRule type="cellIs" dxfId="20" priority="25" operator="equal">
      <formula>"Date"</formula>
    </cfRule>
  </conditionalFormatting>
  <conditionalFormatting sqref="I8:I9">
    <cfRule type="cellIs" dxfId="19" priority="26" operator="equal">
      <formula>"Date"</formula>
    </cfRule>
  </conditionalFormatting>
  <conditionalFormatting sqref="I8:J9">
    <cfRule type="containsBlanks" dxfId="18" priority="7">
      <formula>LEN(TRIM(I8))=0</formula>
    </cfRule>
  </conditionalFormatting>
  <conditionalFormatting sqref="I5:L5 E3 E5:E6">
    <cfRule type="containsBlanks" dxfId="17" priority="44">
      <formula>LEN(TRIM(E3))=0</formula>
    </cfRule>
  </conditionalFormatting>
  <conditionalFormatting sqref="J5">
    <cfRule type="cellIs" dxfId="16" priority="34" operator="equal">
      <formula>"Heure"</formula>
    </cfRule>
  </conditionalFormatting>
  <conditionalFormatting sqref="J8:J9">
    <cfRule type="cellIs" dxfId="15" priority="6" operator="equal">
      <formula>"Heure"</formula>
    </cfRule>
  </conditionalFormatting>
  <conditionalFormatting sqref="K5">
    <cfRule type="cellIs" dxfId="14" priority="32" operator="equal">
      <formula>"Minute"</formula>
    </cfRule>
  </conditionalFormatting>
  <conditionalFormatting sqref="K8:K9">
    <cfRule type="cellIs" dxfId="13" priority="10" operator="equal">
      <formula>"Minute"</formula>
    </cfRule>
    <cfRule type="containsBlanks" dxfId="12" priority="11">
      <formula>LEN(TRIM(K8))=0</formula>
    </cfRule>
  </conditionalFormatting>
  <conditionalFormatting sqref="K14:K21">
    <cfRule type="expression" dxfId="11" priority="1">
      <formula>$D14=""</formula>
    </cfRule>
    <cfRule type="containsBlanks" dxfId="10" priority="2">
      <formula>LEN(TRIM(K14))=0</formula>
    </cfRule>
  </conditionalFormatting>
  <conditionalFormatting sqref="K26:K55">
    <cfRule type="expression" dxfId="9" priority="40">
      <formula>$D26=""</formula>
    </cfRule>
  </conditionalFormatting>
  <conditionalFormatting sqref="L5">
    <cfRule type="expression" dxfId="8" priority="14">
      <formula>$D11=""</formula>
    </cfRule>
    <cfRule type="cellIs" dxfId="7" priority="45" operator="equal">
      <formula>0</formula>
    </cfRule>
  </conditionalFormatting>
  <conditionalFormatting sqref="O26:O55">
    <cfRule type="expression" dxfId="6" priority="39">
      <formula>$D26=""</formula>
    </cfRule>
  </conditionalFormatting>
  <conditionalFormatting sqref="P14:P21 L14:L21 R14:R21">
    <cfRule type="containsBlanks" dxfId="5" priority="5">
      <formula>LEN(TRIM(L14))=0</formula>
    </cfRule>
  </conditionalFormatting>
  <conditionalFormatting sqref="P14:P21">
    <cfRule type="expression" dxfId="4" priority="4">
      <formula>AND($D14&gt;INDIRECT("nbetapes")-1,$D14&lt;&gt;"")</formula>
    </cfRule>
  </conditionalFormatting>
  <conditionalFormatting sqref="W5:X5">
    <cfRule type="containsBlanks" dxfId="3" priority="28">
      <formula>LEN(TRIM(W5))=0</formula>
    </cfRule>
  </conditionalFormatting>
  <conditionalFormatting sqref="W8:X9">
    <cfRule type="containsBlanks" dxfId="2" priority="27">
      <formula>LEN(TRIM(W8))=0</formula>
    </cfRule>
  </conditionalFormatting>
  <conditionalFormatting sqref="W12:Y13">
    <cfRule type="containsBlanks" dxfId="1" priority="35">
      <formula>LEN(TRIM(W12))=0</formula>
    </cfRule>
  </conditionalFormatting>
  <conditionalFormatting sqref="W24:Y25">
    <cfRule type="containsBlanks" dxfId="0" priority="15">
      <formula>LEN(TRIM(W24))=0</formula>
    </cfRule>
  </conditionalFormatting>
  <dataValidations count="15">
    <dataValidation type="list" allowBlank="1" showInputMessage="1" showErrorMessage="1" prompt="Selectionner le nom de la flèche" sqref="E3" xr:uid="{A4D0495D-90DA-421B-B517-937D4D829C55}">
      <formula1>INDIRECT("ListF")</formula1>
    </dataValidation>
    <dataValidation allowBlank="1" showInputMessage="1" showErrorMessage="1" promptTitle="Saisie" prompt="Lieu de départ ou de l'étape" sqref="E26:E55" xr:uid="{41F6C45E-0F06-447A-B3DF-5AE2D486103B}"/>
    <dataValidation allowBlank="1" showInputMessage="1" showErrorMessage="1" promptTitle="Saisie" prompt="Nombre de Km jusqu'à l'étape suivante" sqref="F26:F55" xr:uid="{AC6743E5-BBDF-4030-997B-09546B57C138}"/>
    <dataValidation allowBlank="1" showInputMessage="1" showErrorMessage="1" promptTitle="Saisie" prompt="vitesse moyenne de roulage visée sur l'étape" sqref="R26:R55 R14:R21" xr:uid="{60AB1FF6-F6BD-4F4E-A247-48ACAFF96051}"/>
    <dataValidation allowBlank="1" showInputMessage="1" showErrorMessage="1" promptTitle="Saisie" prompt="temps passé en pause_x000a_s'ajoute au temps de roulage pour calculer la durée de l'étape" sqref="L26:L55 L14:L21" xr:uid="{D364B17A-9C21-4E75-92A3-502232F9672D}"/>
    <dataValidation allowBlank="1" showInputMessage="1" showErrorMessage="1" promptTitle="Saisie" prompt="temps de pause avant de démarrer la prochaine étape en minutes" sqref="P26:P55" xr:uid="{926A3F85-1861-4217-BBA9-9D028A16331B}"/>
    <dataValidation allowBlank="1" showInputMessage="1" showErrorMessage="1" promptTitle="Saisie" prompt="informations obligatoire pour permettre le calcul des plans de routes et pour estimer sa catégorie (Or, Argent ou Bronze)" sqref="H4" xr:uid="{FD5F5777-0D22-4223-95F9-7685B7E91A2C}"/>
    <dataValidation allowBlank="1" showInputMessage="1" showErrorMessage="1" promptTitle="Saisie" prompt="jour et horaire de de départ et d'arrivée_x000a_pour afficher la catégorie d'homologation de la flèche une fois réalisée" sqref="H7" xr:uid="{566528E2-8986-44A9-9542-4E9D4E8DE056}"/>
    <dataValidation allowBlank="1" showInputMessage="1" showErrorMessage="1" promptTitle="Saisie du dénivelé" prompt="à titre indicatif" sqref="H26:H55" xr:uid="{74EB8DA2-4024-4218-B612-DB09D61D743B}"/>
    <dataValidation type="custom" allowBlank="1" showInputMessage="1" showErrorMessage="1" errorTitle="fin de parcous" error="Vous ne pouvez pas mettre de temps de repos après l'arrivée 😁" promptTitle="Saisie" prompt="temps de pause avant de démarrer la prochaine étape en minutes" sqref="P14:P21" xr:uid="{38F77BF8-876F-4A4C-8401-27FB689D41FB}">
      <formula1>D14&lt;INDIRECT("nbetapes")</formula1>
    </dataValidation>
    <dataValidation allowBlank="1" showInputMessage="1" showErrorMessage="1" promptTitle="Temps de repos" prompt="Indiquez le temps de repos avant de démarrer la prochaine étape" sqref="P12 P24" xr:uid="{CE294993-0AF4-4F07-8100-EEE1FDB0A62B}"/>
    <dataValidation allowBlank="1" showInputMessage="1" showErrorMessage="1" promptTitle="Saisie" prompt="cette vitesse sera appliquée par défaut sur les étapes si pas de vitesse spécifique indiquée sur une étape" sqref="L5" xr:uid="{1FEFB864-8E74-4305-A388-7B20CFF195C3}"/>
    <dataValidation type="custom" allowBlank="1" showInputMessage="1" showErrorMessage="1" errorTitle="Erreur" error="format de sasie JJ/MM/AAAA_x000a_entre le 01/01/2000 et le 31/12/2099" promptTitle="Jour" prompt="format de sasie JJ/MM/AAAA_x000a_entre le 01/01/2000 et le 31/12/2099" sqref="I8:I9 I5" xr:uid="{FD3C4708-FEF6-4539-B95D-02F759E259F0}">
      <formula1>$Y5=1</formula1>
    </dataValidation>
    <dataValidation type="list" allowBlank="1" showInputMessage="1" showErrorMessage="1" promptTitle="Saisie" prompt="Heure" sqref="J5 J8:J9" xr:uid="{FB0AF3D5-CE24-4158-B5C7-F1AE00A3EDCE}">
      <formula1>INDIRECT("Heures")</formula1>
    </dataValidation>
    <dataValidation type="list" allowBlank="1" showInputMessage="1" showErrorMessage="1" promptTitle="Saisie" prompt="Minute" sqref="K5 K8:K9" xr:uid="{421D5009-4027-45B2-BB4B-7572E2669B11}">
      <formula1>INDIRECT("Minutes")</formula1>
    </dataValidation>
  </dataValidations>
  <printOptions horizontalCentered="1"/>
  <pageMargins left="0.23622047244094491" right="0.23622047244094491" top="0.74803149606299213" bottom="0.74803149606299213" header="0.31496062992125984" footer="0.31496062992125984"/>
  <pageSetup paperSize="9" scale="7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706BA6C-3380-47CA-94E2-C8BF94960112}">
          <x14:formula1>
            <xm:f>Settings!$F$2:$F$4</xm:f>
          </x14:formula1>
          <xm:sqref>E5</xm:sqref>
        </x14:dataValidation>
        <x14:dataValidation type="list" allowBlank="1" showInputMessage="1" showErrorMessage="1" xr:uid="{749CC83A-66B4-4C54-A0A3-48C766821980}">
          <x14:formula1>
            <xm:f>Settings!$G$2:$G$4</xm:f>
          </x14:formula1>
          <xm:sqref>E6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E69D0-EF5D-46AF-8F99-CE8ADD32B1E7}">
  <sheetPr codeName="Feuil3">
    <tabColor rgb="FF0B50AE"/>
  </sheetPr>
  <dimension ref="A1:S42"/>
  <sheetViews>
    <sheetView showGridLines="0" topLeftCell="D1" workbookViewId="0">
      <selection activeCell="X37" sqref="X37"/>
    </sheetView>
  </sheetViews>
  <sheetFormatPr baseColWidth="10" defaultColWidth="11.5" defaultRowHeight="14.25" outlineLevelCol="1"/>
  <cols>
    <col min="1" max="1" width="15.375" hidden="1" customWidth="1" outlineLevel="1"/>
    <col min="2" max="2" width="14.5" hidden="1" customWidth="1" outlineLevel="1"/>
    <col min="3" max="3" width="8.875" hidden="1" customWidth="1" outlineLevel="1"/>
    <col min="4" max="4" width="37" bestFit="1" customWidth="1" collapsed="1"/>
    <col min="5" max="9" width="9.125" customWidth="1"/>
    <col min="10" max="11" width="11.75" customWidth="1"/>
    <col min="12" max="15" width="11.5" hidden="1" customWidth="1" outlineLevel="1"/>
    <col min="16" max="16" width="40" hidden="1" customWidth="1" outlineLevel="1"/>
    <col min="17" max="17" width="39" hidden="1" customWidth="1" outlineLevel="1"/>
    <col min="18" max="18" width="78.125" hidden="1" customWidth="1" outlineLevel="1"/>
    <col min="19" max="19" width="11.5" collapsed="1"/>
  </cols>
  <sheetData>
    <row r="1" spans="1:18" ht="30.75" thickBot="1">
      <c r="A1" s="3" t="s">
        <v>133</v>
      </c>
      <c r="B1" s="3" t="s">
        <v>2</v>
      </c>
      <c r="C1" s="3" t="s">
        <v>129</v>
      </c>
      <c r="D1" s="72" t="s">
        <v>2</v>
      </c>
      <c r="E1" s="73" t="s">
        <v>135</v>
      </c>
      <c r="F1" s="73" t="s">
        <v>136</v>
      </c>
      <c r="G1" s="73" t="s">
        <v>407</v>
      </c>
      <c r="H1" s="73" t="s">
        <v>408</v>
      </c>
      <c r="I1" s="73" t="s">
        <v>409</v>
      </c>
      <c r="J1" s="73" t="s">
        <v>3</v>
      </c>
      <c r="K1" s="73" t="s">
        <v>4</v>
      </c>
      <c r="L1" s="3" t="s">
        <v>130</v>
      </c>
      <c r="M1" s="3" t="s">
        <v>131</v>
      </c>
      <c r="N1" s="3" t="s">
        <v>132</v>
      </c>
      <c r="O1" s="3" t="s">
        <v>149</v>
      </c>
      <c r="P1" s="3" t="s">
        <v>147</v>
      </c>
      <c r="Q1" s="1" t="s">
        <v>3</v>
      </c>
      <c r="R1" s="68" t="s">
        <v>4</v>
      </c>
    </row>
    <row r="2" spans="1:18" s="53" customFormat="1" ht="13.5" thickBot="1">
      <c r="A2" s="74" t="str">
        <f>B2&amp;C2</f>
        <v>CALAIS1</v>
      </c>
      <c r="B2" s="74" t="str">
        <f>D2</f>
        <v>CALAIS</v>
      </c>
      <c r="C2" s="74">
        <f>C4</f>
        <v>1</v>
      </c>
      <c r="D2" s="81" t="s">
        <v>33</v>
      </c>
      <c r="E2" s="82">
        <f>VLOOKUP($B2,Tableau7[#All],IF($C2=1,30,32),0)</f>
        <v>301</v>
      </c>
      <c r="F2" s="82">
        <f>VLOOKUP($B2,Tableau7[#All],IF($C2=1,31,33),0)</f>
        <v>2372</v>
      </c>
      <c r="G2" s="83" t="s">
        <v>34</v>
      </c>
      <c r="H2" s="83" t="s">
        <v>35</v>
      </c>
      <c r="I2" s="83" t="s">
        <v>36</v>
      </c>
      <c r="J2" s="144" t="str">
        <f>HYPERLINK(Q2,"ü")</f>
        <v>ü</v>
      </c>
      <c r="K2" s="144" t="str">
        <f>HYPERLINK(R2,"")</f>
        <v></v>
      </c>
      <c r="L2" s="75">
        <f t="shared" ref="L2:N3" si="0">(LEFT(G2,FIND("h",G2,1)-1)+(IF(LEN(G2)=FIND("h",G2,1),0,MID(G2,FIND("h",G2,1)+1,2)))/60)/24</f>
        <v>0.54166666666666663</v>
      </c>
      <c r="M2" s="75">
        <f t="shared" si="0"/>
        <v>0.69444444444444453</v>
      </c>
      <c r="N2" s="75">
        <f t="shared" si="0"/>
        <v>3.75</v>
      </c>
      <c r="O2" s="74">
        <f>IF(P2=Calculateur!$E$3,1,IF(O5=1,2,0))</f>
        <v>0</v>
      </c>
      <c r="P2" s="76" t="s">
        <v>33</v>
      </c>
      <c r="Q2" s="69" t="s">
        <v>159</v>
      </c>
      <c r="R2" s="69" t="s">
        <v>179</v>
      </c>
    </row>
    <row r="3" spans="1:18" s="53" customFormat="1" ht="13.5" thickBot="1">
      <c r="A3" s="74" t="str">
        <f>B3&amp;C3</f>
        <v>CALAIS2</v>
      </c>
      <c r="B3" s="74" t="str">
        <f>D2</f>
        <v>CALAIS</v>
      </c>
      <c r="C3" s="74">
        <f>C5</f>
        <v>2</v>
      </c>
      <c r="D3" s="77" t="str">
        <f>"Départ Décalé "&amp;P3</f>
        <v>Départ Décalé TAVERNY</v>
      </c>
      <c r="E3" s="78">
        <f>VLOOKUP($B3,Tableau7[#All],IF($C3=1,30,32),0)</f>
        <v>283</v>
      </c>
      <c r="F3" s="78">
        <f>VLOOKUP($B3,Tableau7[#All],IF($C3=1,31,33),0)</f>
        <v>2267</v>
      </c>
      <c r="G3" s="80" t="s">
        <v>37</v>
      </c>
      <c r="H3" s="80" t="s">
        <v>38</v>
      </c>
      <c r="I3" s="80" t="s">
        <v>39</v>
      </c>
      <c r="J3" s="144"/>
      <c r="K3" s="144"/>
      <c r="L3" s="75">
        <f t="shared" si="0"/>
        <v>0.51041666666666663</v>
      </c>
      <c r="M3" s="75">
        <f t="shared" si="0"/>
        <v>0.65277777777777779</v>
      </c>
      <c r="N3" s="75">
        <f t="shared" si="0"/>
        <v>3.5</v>
      </c>
      <c r="O3" s="74">
        <f>IF(P3=Calculateur!$E$3,1,IF(O2=1,2,0))</f>
        <v>0</v>
      </c>
      <c r="P3" s="79" t="str">
        <f>VLOOKUP(B3,Tableau7[[#All],[Flèche]:[Etape 0]],3,0)</f>
        <v>TAVERNY</v>
      </c>
      <c r="Q3" s="70"/>
      <c r="R3" s="70"/>
    </row>
    <row r="4" spans="1:18" s="53" customFormat="1" ht="13.5" thickBot="1">
      <c r="A4" s="74" t="str">
        <f t="shared" ref="A4:A5" si="1">B4&amp;C4</f>
        <v>LILLE1</v>
      </c>
      <c r="B4" s="74" t="str">
        <f>D4</f>
        <v>LILLE</v>
      </c>
      <c r="C4" s="74">
        <f>C40</f>
        <v>1</v>
      </c>
      <c r="D4" s="81" t="s">
        <v>26</v>
      </c>
      <c r="E4" s="82">
        <f>VLOOKUP($B4,Tableau7[#All],IF($C4=1,30,32),0)</f>
        <v>275</v>
      </c>
      <c r="F4" s="82">
        <f>VLOOKUP($B4,Tableau7[#All],IF($C4=1,31,33),0)</f>
        <v>1778</v>
      </c>
      <c r="G4" s="83" t="s">
        <v>27</v>
      </c>
      <c r="H4" s="83" t="s">
        <v>28</v>
      </c>
      <c r="I4" s="83" t="s">
        <v>29</v>
      </c>
      <c r="J4" s="144" t="str">
        <f>HYPERLINK(Q4,"ü")</f>
        <v>ü</v>
      </c>
      <c r="K4" s="144" t="str">
        <f>HYPERLINK(R4,"")</f>
        <v></v>
      </c>
      <c r="L4" s="75">
        <f t="shared" ref="L4:L5" si="2">(LEFT(G4,FIND("h",G4,1)-1)+(IF(LEN(G4)=FIND("h",G4,1),0,MID(G4,FIND("h",G4,1)+1,2)))/60)/24</f>
        <v>0.5</v>
      </c>
      <c r="M4" s="75">
        <f t="shared" ref="M4:M5" si="3">(LEFT(H4,FIND("h",H4,1)-1)+(IF(LEN(H4)=FIND("h",H4,1),0,MID(H4,FIND("h",H4,1)+1,2)))/60)/24</f>
        <v>0.63541666666666663</v>
      </c>
      <c r="N4" s="75">
        <f t="shared" ref="N4:N5" si="4">(LEFT(I4,FIND("h",I4,1)-1)+(IF(LEN(I4)=FIND("h",I4,1),0,MID(I4,FIND("h",I4,1)+1,2)))/60)/24</f>
        <v>3.4166666666666665</v>
      </c>
      <c r="O4" s="74">
        <f>IF(P4=Calculateur!$E$3,1,IF(O41=1,2,0))</f>
        <v>0</v>
      </c>
      <c r="P4" s="76" t="s">
        <v>26</v>
      </c>
      <c r="Q4" s="69" t="s">
        <v>158</v>
      </c>
      <c r="R4" s="69" t="s">
        <v>178</v>
      </c>
    </row>
    <row r="5" spans="1:18" s="53" customFormat="1" ht="13.5" thickBot="1">
      <c r="A5" s="74" t="str">
        <f t="shared" si="1"/>
        <v>LILLE2</v>
      </c>
      <c r="B5" s="74" t="str">
        <f>D4</f>
        <v>LILLE</v>
      </c>
      <c r="C5" s="74">
        <f>C41</f>
        <v>2</v>
      </c>
      <c r="D5" s="77" t="str">
        <f>"Départ Décalé "&amp;P5</f>
        <v>Départ Décalé VILLIERS LE BEL</v>
      </c>
      <c r="E5" s="78">
        <f>VLOOKUP($B5,Tableau7[#All],IF($C5=1,30,32),0)</f>
        <v>260</v>
      </c>
      <c r="F5" s="78">
        <f>VLOOKUP($B5,Tableau7[#All],IF($C5=1,31,33),0)</f>
        <v>1688</v>
      </c>
      <c r="G5" s="80" t="s">
        <v>30</v>
      </c>
      <c r="H5" s="80" t="s">
        <v>31</v>
      </c>
      <c r="I5" s="80" t="s">
        <v>32</v>
      </c>
      <c r="J5" s="144"/>
      <c r="K5" s="144" t="str">
        <f t="shared" ref="K5" si="5">K4</f>
        <v></v>
      </c>
      <c r="L5" s="75">
        <f t="shared" si="2"/>
        <v>0.46875</v>
      </c>
      <c r="M5" s="75">
        <f t="shared" si="3"/>
        <v>0.60069444444444442</v>
      </c>
      <c r="N5" s="75">
        <f t="shared" si="4"/>
        <v>3.25</v>
      </c>
      <c r="O5" s="74">
        <f>IF(P5=Calculateur!$E$3,1,IF(O4=1,2,0))</f>
        <v>0</v>
      </c>
      <c r="P5" s="79" t="str">
        <f>VLOOKUP(B5,Tableau7[[#All],[Flèche]:[Etape 0]],3,0)</f>
        <v>VILLIERS LE BEL</v>
      </c>
      <c r="Q5" s="70"/>
      <c r="R5" s="70"/>
    </row>
    <row r="6" spans="1:18" s="53" customFormat="1" ht="13.5" thickBot="1">
      <c r="A6" s="74" t="str">
        <f t="shared" ref="A6:A41" si="6">B6&amp;C6</f>
        <v>CHARLEVILLE1</v>
      </c>
      <c r="B6" s="74" t="str">
        <f>D6</f>
        <v>CHARLEVILLE</v>
      </c>
      <c r="C6" s="74">
        <f>C38</f>
        <v>1</v>
      </c>
      <c r="D6" s="81" t="s">
        <v>12</v>
      </c>
      <c r="E6" s="82">
        <f>VLOOKUP($B6,Tableau7[#All],IF($C6=1,30,32),0)</f>
        <v>245</v>
      </c>
      <c r="F6" s="82">
        <f>VLOOKUP($B6,Tableau7[#All],IF($C6=1,31,33),0)</f>
        <v>2070</v>
      </c>
      <c r="G6" s="83" t="s">
        <v>13</v>
      </c>
      <c r="H6" s="83" t="s">
        <v>14</v>
      </c>
      <c r="I6" s="83" t="s">
        <v>15</v>
      </c>
      <c r="J6" s="144" t="str">
        <f>HYPERLINK(Q6,"ü")</f>
        <v>ü</v>
      </c>
      <c r="K6" s="144" t="str">
        <f>HYPERLINK(R6,"")</f>
        <v></v>
      </c>
      <c r="L6" s="75">
        <f t="shared" ref="L6:L41" si="7">(LEFT(G6,FIND("h",G6,1)-1)+(IF(LEN(G6)=FIND("h",G6,1),0,MID(G6,FIND("h",G6,1)+1,2)))/60)/24</f>
        <v>0.44444444444444442</v>
      </c>
      <c r="M6" s="75">
        <f t="shared" ref="M6:M41" si="8">(LEFT(H6,FIND("h",H6,1)-1)+(IF(LEN(H6)=FIND("h",H6,1),0,MID(H6,FIND("h",H6,1)+1,2)))/60)/24</f>
        <v>0.56597222222222221</v>
      </c>
      <c r="N6" s="75">
        <f t="shared" ref="N6:N41" si="9">(LEFT(I6,FIND("h",I6,1)-1)+(IF(LEN(I6)=FIND("h",I6,1),0,MID(I6,FIND("h",I6,1)+1,2)))/60)/24</f>
        <v>3.0416666666666665</v>
      </c>
      <c r="O6" s="74">
        <f>IF(P6=Calculateur!$E$3,1,IF(O39=1,2,0))</f>
        <v>0</v>
      </c>
      <c r="P6" s="76" t="s">
        <v>12</v>
      </c>
      <c r="Q6" s="69" t="s">
        <v>156</v>
      </c>
      <c r="R6" s="69" t="s">
        <v>176</v>
      </c>
    </row>
    <row r="7" spans="1:18" s="53" customFormat="1" ht="13.5" thickBot="1">
      <c r="A7" s="74" t="str">
        <f t="shared" si="6"/>
        <v>CHARLEVILLE2</v>
      </c>
      <c r="B7" s="74" t="str">
        <f>D6</f>
        <v>CHARLEVILLE</v>
      </c>
      <c r="C7" s="74">
        <f>C39</f>
        <v>2</v>
      </c>
      <c r="D7" s="77" t="str">
        <f>"Départ Décalé "&amp;P7</f>
        <v>Départ Décalé TREMBLAY EN FRANCE</v>
      </c>
      <c r="E7" s="78">
        <f>VLOOKUP($B7,Tableau7[#All],IF($C7=1,30,32),0)</f>
        <v>230</v>
      </c>
      <c r="F7" s="78">
        <f>VLOOKUP($B7,Tableau7[#All],IF($C7=1,31,33),0)</f>
        <v>2020</v>
      </c>
      <c r="G7" s="80" t="s">
        <v>16</v>
      </c>
      <c r="H7" s="80" t="s">
        <v>17</v>
      </c>
      <c r="I7" s="80" t="s">
        <v>18</v>
      </c>
      <c r="J7" s="144"/>
      <c r="K7" s="144" t="str">
        <f t="shared" ref="K7" si="10">K6</f>
        <v></v>
      </c>
      <c r="L7" s="75">
        <f t="shared" si="7"/>
        <v>0.41666666666666669</v>
      </c>
      <c r="M7" s="75">
        <f t="shared" si="8"/>
        <v>0.53125</v>
      </c>
      <c r="N7" s="75">
        <f t="shared" si="9"/>
        <v>2.875</v>
      </c>
      <c r="O7" s="74">
        <f>IF(P7=Calculateur!$E$3,1,IF(O6=1,2,0))</f>
        <v>0</v>
      </c>
      <c r="P7" s="79" t="str">
        <f>VLOOKUP(B7,Tableau7[[#All],[Flèche]:[Etape 0]],3,0)</f>
        <v>TREMBLAY EN FRANCE</v>
      </c>
      <c r="Q7" s="70"/>
      <c r="R7" s="70"/>
    </row>
    <row r="8" spans="1:18" s="53" customFormat="1" ht="13.5" thickBot="1">
      <c r="A8" s="74" t="str">
        <f t="shared" si="6"/>
        <v>STRASBOURG1</v>
      </c>
      <c r="B8" s="74" t="str">
        <f>D8</f>
        <v>STRASBOURG</v>
      </c>
      <c r="C8" s="74">
        <f>C28</f>
        <v>1</v>
      </c>
      <c r="D8" s="81" t="s">
        <v>70</v>
      </c>
      <c r="E8" s="82">
        <f>VLOOKUP($B8,Tableau7[#All],IF($C8=1,30,32),0)</f>
        <v>491</v>
      </c>
      <c r="F8" s="82">
        <f>VLOOKUP($B8,Tableau7[#All],IF($C8=1,31,33),0)</f>
        <v>4623</v>
      </c>
      <c r="G8" s="83" t="s">
        <v>71</v>
      </c>
      <c r="H8" s="83" t="s">
        <v>72</v>
      </c>
      <c r="I8" s="83" t="s">
        <v>73</v>
      </c>
      <c r="J8" s="144" t="str">
        <f>HYPERLINK(Q8,"ü")</f>
        <v>ü</v>
      </c>
      <c r="K8" s="144" t="str">
        <f>HYPERLINK(R8,"")</f>
        <v></v>
      </c>
      <c r="L8" s="75">
        <f t="shared" si="7"/>
        <v>1.1388888888888888</v>
      </c>
      <c r="M8" s="75">
        <f t="shared" si="8"/>
        <v>1.8333333333333333</v>
      </c>
      <c r="N8" s="75">
        <f t="shared" si="9"/>
        <v>6.125</v>
      </c>
      <c r="O8" s="74">
        <f>IF(P8=Calculateur!$E$3,1,IF(O29=1,2,0))</f>
        <v>0</v>
      </c>
      <c r="P8" s="76" t="s">
        <v>70</v>
      </c>
      <c r="Q8" s="69" t="s">
        <v>165</v>
      </c>
      <c r="R8" s="69" t="s">
        <v>185</v>
      </c>
    </row>
    <row r="9" spans="1:18" s="53" customFormat="1" ht="13.5" thickBot="1">
      <c r="A9" s="74" t="str">
        <f t="shared" si="6"/>
        <v>STRASBOURG2</v>
      </c>
      <c r="B9" s="74" t="str">
        <f>D8</f>
        <v>STRASBOURG</v>
      </c>
      <c r="C9" s="74">
        <f>C29</f>
        <v>2</v>
      </c>
      <c r="D9" s="77" t="str">
        <f>"Départ Décalé "&amp;P9</f>
        <v>Départ Décalé CHAMPS SUR MARNE</v>
      </c>
      <c r="E9" s="78">
        <f>VLOOKUP($B9,Tableau7[#All],IF($C9=1,30,32),0)</f>
        <v>476</v>
      </c>
      <c r="F9" s="78">
        <f>VLOOKUP($B9,Tableau7[#All],IF($C9=1,31,33),0)</f>
        <v>4505</v>
      </c>
      <c r="G9" s="80" t="s">
        <v>74</v>
      </c>
      <c r="H9" s="80" t="s">
        <v>75</v>
      </c>
      <c r="I9" s="80" t="s">
        <v>76</v>
      </c>
      <c r="J9" s="144"/>
      <c r="K9" s="144" t="str">
        <f t="shared" ref="K9" si="11">K8</f>
        <v></v>
      </c>
      <c r="L9" s="75">
        <f t="shared" si="7"/>
        <v>1.1041666666666667</v>
      </c>
      <c r="M9" s="75">
        <f t="shared" si="8"/>
        <v>1.7708333333333333</v>
      </c>
      <c r="N9" s="75">
        <f t="shared" si="9"/>
        <v>6</v>
      </c>
      <c r="O9" s="74">
        <f>IF(P9=Calculateur!$E$3,1,IF(O8=1,2,0))</f>
        <v>0</v>
      </c>
      <c r="P9" s="79" t="str">
        <f>VLOOKUP(B9,Tableau7[[#All],[Flèche]:[Etape 0]],3,0)</f>
        <v>CHAMPS SUR MARNE</v>
      </c>
      <c r="Q9" s="70"/>
      <c r="R9" s="70"/>
    </row>
    <row r="10" spans="1:18" s="53" customFormat="1" ht="13.5" thickBot="1">
      <c r="A10" s="74" t="str">
        <f t="shared" si="6"/>
        <v>MONTBELIARD1</v>
      </c>
      <c r="B10" s="74" t="str">
        <f>D10</f>
        <v>MONTBELIARD</v>
      </c>
      <c r="C10" s="74">
        <f>C30</f>
        <v>1</v>
      </c>
      <c r="D10" s="81" t="s">
        <v>58</v>
      </c>
      <c r="E10" s="82">
        <f>VLOOKUP($B10,Tableau7[#All],IF($C10=1,30,32),0)</f>
        <v>465</v>
      </c>
      <c r="F10" s="82">
        <f>VLOOKUP($B10,Tableau7[#All],IF($C10=1,31,33),0)</f>
        <v>4458</v>
      </c>
      <c r="G10" s="83" t="s">
        <v>59</v>
      </c>
      <c r="H10" s="83" t="s">
        <v>60</v>
      </c>
      <c r="I10" s="83" t="s">
        <v>61</v>
      </c>
      <c r="J10" s="144" t="str">
        <f>HYPERLINK(Q10,"ü")</f>
        <v>ü</v>
      </c>
      <c r="K10" s="144" t="str">
        <f>HYPERLINK(R10,"")</f>
        <v></v>
      </c>
      <c r="L10" s="75">
        <f t="shared" si="7"/>
        <v>0.96875</v>
      </c>
      <c r="M10" s="75">
        <f t="shared" si="8"/>
        <v>1.6666666666666667</v>
      </c>
      <c r="N10" s="75">
        <f t="shared" si="9"/>
        <v>5.833333333333333</v>
      </c>
      <c r="O10" s="74">
        <f>IF(P10=Calculateur!$E$3,1,IF(O31=1,2,0))</f>
        <v>0</v>
      </c>
      <c r="P10" s="76" t="s">
        <v>58</v>
      </c>
      <c r="Q10" s="69" t="s">
        <v>163</v>
      </c>
      <c r="R10" s="69" t="s">
        <v>183</v>
      </c>
    </row>
    <row r="11" spans="1:18" s="53" customFormat="1" ht="13.5" thickBot="1">
      <c r="A11" s="74" t="str">
        <f t="shared" si="6"/>
        <v>MONTBELIARD2</v>
      </c>
      <c r="B11" s="74" t="str">
        <f>D10</f>
        <v>MONTBELIARD</v>
      </c>
      <c r="C11" s="74">
        <f>C31</f>
        <v>2</v>
      </c>
      <c r="D11" s="77" t="str">
        <f>"Départ Décalé "&amp;P11</f>
        <v>Départ Décalé PONTAULT COMBAULT</v>
      </c>
      <c r="E11" s="78">
        <f>VLOOKUP($B11,Tableau7[#All],IF($C11=1,30,32),0)</f>
        <v>446</v>
      </c>
      <c r="F11" s="78">
        <f>VLOOKUP($B11,Tableau7[#All],IF($C11=1,31,33),0)</f>
        <v>4307</v>
      </c>
      <c r="G11" s="80" t="s">
        <v>62</v>
      </c>
      <c r="H11" s="80" t="s">
        <v>63</v>
      </c>
      <c r="I11" s="80" t="s">
        <v>64</v>
      </c>
      <c r="J11" s="144"/>
      <c r="K11" s="144" t="str">
        <f t="shared" ref="K11" si="12">K10</f>
        <v></v>
      </c>
      <c r="L11" s="75">
        <f t="shared" si="7"/>
        <v>0.93055555555555547</v>
      </c>
      <c r="M11" s="75">
        <f t="shared" si="8"/>
        <v>1.5833333333333333</v>
      </c>
      <c r="N11" s="75">
        <f t="shared" si="9"/>
        <v>5.583333333333333</v>
      </c>
      <c r="O11" s="74">
        <f>IF(P11=Calculateur!$E$3,1,IF(O10=1,2,0))</f>
        <v>0</v>
      </c>
      <c r="P11" s="79" t="str">
        <f>VLOOKUP(B11,Tableau7[[#All],[Flèche]:[Etape 0]],3,0)</f>
        <v>PONTAULT COMBAULT</v>
      </c>
      <c r="Q11" s="70"/>
      <c r="R11" s="70"/>
    </row>
    <row r="12" spans="1:18" s="53" customFormat="1" ht="13.5" thickBot="1">
      <c r="A12" s="74" t="str">
        <f t="shared" si="6"/>
        <v>BELLEGARDE1</v>
      </c>
      <c r="B12" s="74" t="str">
        <f>D12</f>
        <v>BELLEGARDE</v>
      </c>
      <c r="C12" s="74">
        <f>C8</f>
        <v>1</v>
      </c>
      <c r="D12" s="81" t="s">
        <v>77</v>
      </c>
      <c r="E12" s="82">
        <f>VLOOKUP($B12,Tableau7[#All],IF($C12=1,30,32),0)</f>
        <v>584</v>
      </c>
      <c r="F12" s="82">
        <f>VLOOKUP($B12,Tableau7[#All],IF($C12=1,31,33),0)</f>
        <v>5702</v>
      </c>
      <c r="G12" s="83" t="s">
        <v>78</v>
      </c>
      <c r="H12" s="83" t="s">
        <v>79</v>
      </c>
      <c r="I12" s="83" t="s">
        <v>80</v>
      </c>
      <c r="J12" s="144" t="str">
        <f>HYPERLINK(Q12,"ü")</f>
        <v>ü</v>
      </c>
      <c r="K12" s="144" t="str">
        <f>HYPERLINK(R12,"")</f>
        <v></v>
      </c>
      <c r="L12" s="75">
        <f t="shared" si="7"/>
        <v>1.4375</v>
      </c>
      <c r="M12" s="75">
        <f t="shared" si="8"/>
        <v>2.5</v>
      </c>
      <c r="N12" s="75">
        <f t="shared" si="9"/>
        <v>7.291666666666667</v>
      </c>
      <c r="O12" s="74">
        <f>IF(P12=Calculateur!$E$3,1,IF(O9=1,2,0))</f>
        <v>0</v>
      </c>
      <c r="P12" s="76" t="s">
        <v>77</v>
      </c>
      <c r="Q12" s="69" t="s">
        <v>166</v>
      </c>
      <c r="R12" s="69" t="s">
        <v>186</v>
      </c>
    </row>
    <row r="13" spans="1:18" s="53" customFormat="1" ht="13.5" thickBot="1">
      <c r="A13" s="74" t="str">
        <f t="shared" si="6"/>
        <v>BELLEGARDE2</v>
      </c>
      <c r="B13" s="74" t="str">
        <f>D12</f>
        <v>BELLEGARDE</v>
      </c>
      <c r="C13" s="74">
        <f>C9</f>
        <v>2</v>
      </c>
      <c r="D13" s="77" t="str">
        <f>"Départ Décalé "&amp;P13</f>
        <v>Départ Décalé MONTGERON</v>
      </c>
      <c r="E13" s="78">
        <f>VLOOKUP($B13,Tableau7[#All],IF($C13=1,30,32),0)</f>
        <v>568</v>
      </c>
      <c r="F13" s="78">
        <f>VLOOKUP($B13,Tableau7[#All],IF($C13=1,31,33),0)</f>
        <v>5664</v>
      </c>
      <c r="G13" s="80" t="s">
        <v>81</v>
      </c>
      <c r="H13" s="80" t="s">
        <v>82</v>
      </c>
      <c r="I13" s="80" t="s">
        <v>83</v>
      </c>
      <c r="J13" s="144"/>
      <c r="K13" s="144" t="str">
        <f t="shared" ref="K13" si="13">K12</f>
        <v></v>
      </c>
      <c r="L13" s="75">
        <f t="shared" si="7"/>
        <v>1.3854166666666667</v>
      </c>
      <c r="M13" s="75">
        <f t="shared" si="8"/>
        <v>2.4305555555555558</v>
      </c>
      <c r="N13" s="75">
        <f t="shared" si="9"/>
        <v>7</v>
      </c>
      <c r="O13" s="74">
        <f>IF(P13=Calculateur!$E$3,1,IF(O12=1,2,0))</f>
        <v>0</v>
      </c>
      <c r="P13" s="79" t="str">
        <f>VLOOKUP(B13,Tableau7[[#All],[Flèche]:[Etape 0]],3,0)</f>
        <v>MONTGERON</v>
      </c>
      <c r="Q13" s="70"/>
      <c r="R13" s="70"/>
    </row>
    <row r="14" spans="1:18" s="53" customFormat="1" ht="13.5" thickBot="1">
      <c r="A14" s="74" t="str">
        <f t="shared" si="6"/>
        <v>BRIANCON1</v>
      </c>
      <c r="B14" s="74" t="str">
        <f>D14</f>
        <v>BRIANCON</v>
      </c>
      <c r="C14" s="74">
        <f>C26</f>
        <v>1</v>
      </c>
      <c r="D14" s="81" t="s">
        <v>96</v>
      </c>
      <c r="E14" s="82">
        <f>VLOOKUP($B14,Tableau7[#All],IF($C14=1,30,32),0)</f>
        <v>784</v>
      </c>
      <c r="F14" s="82">
        <f>VLOOKUP($B14,Tableau7[#All],IF($C14=1,31,33),0)</f>
        <v>8861</v>
      </c>
      <c r="G14" s="83" t="s">
        <v>97</v>
      </c>
      <c r="H14" s="83" t="s">
        <v>98</v>
      </c>
      <c r="I14" s="83" t="s">
        <v>99</v>
      </c>
      <c r="J14" s="144" t="str">
        <f>HYPERLINK(Q14,"ü")</f>
        <v>ü</v>
      </c>
      <c r="K14" s="144" t="str">
        <f>HYPERLINK(R14,"")</f>
        <v></v>
      </c>
      <c r="L14" s="75">
        <f t="shared" si="7"/>
        <v>2.125</v>
      </c>
      <c r="M14" s="75">
        <f t="shared" si="8"/>
        <v>3.4583333333333335</v>
      </c>
      <c r="N14" s="75">
        <f t="shared" si="9"/>
        <v>9.7916666666666661</v>
      </c>
      <c r="O14" s="74">
        <f>IF(P14=Calculateur!$E$3,1,IF(O27=1,2,0))</f>
        <v>0</v>
      </c>
      <c r="P14" s="76" t="s">
        <v>96</v>
      </c>
      <c r="Q14" s="69" t="s">
        <v>169</v>
      </c>
      <c r="R14" s="69" t="s">
        <v>189</v>
      </c>
    </row>
    <row r="15" spans="1:18" s="53" customFormat="1" ht="13.5" thickBot="1">
      <c r="A15" s="74" t="str">
        <f t="shared" si="6"/>
        <v>BRIANCON2</v>
      </c>
      <c r="B15" s="74" t="str">
        <f>D14</f>
        <v>BRIANCON</v>
      </c>
      <c r="C15" s="74">
        <f>C27</f>
        <v>2</v>
      </c>
      <c r="D15" s="77" t="str">
        <f>"Départ Décalé "&amp;P15</f>
        <v>Départ Décalé VILLENEUVE SAINT GEORGES</v>
      </c>
      <c r="E15" s="78">
        <f>VLOOKUP($B15,Tableau7[#All],IF($C15=1,30,32),0)</f>
        <v>772</v>
      </c>
      <c r="F15" s="78">
        <f>VLOOKUP($B15,Tableau7[#All],IF($C15=1,31,33),0)</f>
        <v>8829</v>
      </c>
      <c r="G15" s="80" t="s">
        <v>100</v>
      </c>
      <c r="H15" s="80" t="s">
        <v>29</v>
      </c>
      <c r="I15" s="80" t="s">
        <v>101</v>
      </c>
      <c r="J15" s="144"/>
      <c r="K15" s="144" t="str">
        <f>K14</f>
        <v></v>
      </c>
      <c r="L15" s="75">
        <f t="shared" si="7"/>
        <v>2.0902777777777777</v>
      </c>
      <c r="M15" s="75">
        <f t="shared" si="8"/>
        <v>3.4166666666666665</v>
      </c>
      <c r="N15" s="75">
        <f t="shared" si="9"/>
        <v>9.5833333333333339</v>
      </c>
      <c r="O15" s="74">
        <f>IF(P15=Calculateur!$E$3,1,IF(O14=1,2,0))</f>
        <v>0</v>
      </c>
      <c r="P15" s="79" t="str">
        <f>VLOOKUP(B15,Tableau7[[#All],[Flèche]:[Etape 0]],3,0)</f>
        <v>VILLENEUVE SAINT GEORGES</v>
      </c>
      <c r="Q15" s="70"/>
      <c r="R15" s="70"/>
    </row>
    <row r="16" spans="1:18" s="53" customFormat="1" ht="13.5" thickBot="1">
      <c r="A16" s="74" t="str">
        <f t="shared" si="6"/>
        <v>NICE1</v>
      </c>
      <c r="B16" s="74" t="str">
        <f>D16</f>
        <v>NICE</v>
      </c>
      <c r="C16" s="74">
        <f>C18</f>
        <v>1</v>
      </c>
      <c r="D16" s="81" t="s">
        <v>118</v>
      </c>
      <c r="E16" s="82">
        <f>VLOOKUP($B16,Tableau7[#All],IF($C16=1,30,32),0)</f>
        <v>1025</v>
      </c>
      <c r="F16" s="82">
        <f>VLOOKUP($B16,Tableau7[#All],IF($C16=1,31,33),0)</f>
        <v>10468</v>
      </c>
      <c r="G16" s="83" t="s">
        <v>119</v>
      </c>
      <c r="H16" s="83" t="s">
        <v>120</v>
      </c>
      <c r="I16" s="83" t="s">
        <v>121</v>
      </c>
      <c r="J16" s="144" t="str">
        <f>HYPERLINK(Q16,"ü")</f>
        <v>ü</v>
      </c>
      <c r="K16" s="144" t="str">
        <f>HYPERLINK(R16,"")</f>
        <v></v>
      </c>
      <c r="L16" s="75">
        <f t="shared" si="7"/>
        <v>3.3333333333333335</v>
      </c>
      <c r="M16" s="75">
        <f t="shared" si="8"/>
        <v>5</v>
      </c>
      <c r="N16" s="75">
        <f t="shared" si="9"/>
        <v>12.791666666666666</v>
      </c>
      <c r="O16" s="74">
        <f>IF(P16=Calculateur!$E$3,1,IF(O19=1,2,0))</f>
        <v>0</v>
      </c>
      <c r="P16" s="76" t="s">
        <v>118</v>
      </c>
      <c r="Q16" s="69" t="s">
        <v>173</v>
      </c>
      <c r="R16" s="69" t="s">
        <v>193</v>
      </c>
    </row>
    <row r="17" spans="1:18" s="53" customFormat="1" ht="13.5" thickBot="1">
      <c r="A17" s="74" t="str">
        <f t="shared" si="6"/>
        <v>NICE2</v>
      </c>
      <c r="B17" s="74" t="str">
        <f>D16</f>
        <v>NICE</v>
      </c>
      <c r="C17" s="74">
        <f>C19</f>
        <v>2</v>
      </c>
      <c r="D17" s="77" t="str">
        <f>"Départ Décalé "&amp;P17</f>
        <v>Départ Décalé MONTGERON</v>
      </c>
      <c r="E17" s="78">
        <f>VLOOKUP($B17,Tableau7[#All],IF($C17=1,30,32),0)</f>
        <v>1008</v>
      </c>
      <c r="F17" s="78">
        <f>VLOOKUP($B17,Tableau7[#All],IF($C17=1,31,33),0)</f>
        <v>10426</v>
      </c>
      <c r="G17" s="80" t="s">
        <v>122</v>
      </c>
      <c r="H17" s="80" t="s">
        <v>123</v>
      </c>
      <c r="I17" s="80" t="s">
        <v>124</v>
      </c>
      <c r="J17" s="144"/>
      <c r="K17" s="144" t="str">
        <f t="shared" ref="K17" si="14">K16</f>
        <v></v>
      </c>
      <c r="L17" s="75">
        <f t="shared" si="7"/>
        <v>3.2916666666666665</v>
      </c>
      <c r="M17" s="75">
        <f t="shared" si="8"/>
        <v>4.9375</v>
      </c>
      <c r="N17" s="75">
        <f t="shared" si="9"/>
        <v>12.541666666666666</v>
      </c>
      <c r="O17" s="74">
        <f>IF(P17=Calculateur!$E$3,1,IF(O16=1,2,0))</f>
        <v>0</v>
      </c>
      <c r="P17" s="79" t="str">
        <f>VLOOKUP(B17,Tableau7[[#All],[Flèche]:[Etape 0]],3,0)</f>
        <v>MONTGERON</v>
      </c>
      <c r="Q17" s="70"/>
      <c r="R17" s="70"/>
    </row>
    <row r="18" spans="1:18" s="53" customFormat="1" ht="13.5" thickBot="1">
      <c r="A18" s="74" t="str">
        <f t="shared" si="6"/>
        <v>MARSEILLE1</v>
      </c>
      <c r="B18" s="74" t="str">
        <f>D18</f>
        <v>MARSEILLE</v>
      </c>
      <c r="C18" s="74">
        <f>C24</f>
        <v>1</v>
      </c>
      <c r="D18" s="81" t="s">
        <v>111</v>
      </c>
      <c r="E18" s="82">
        <f>VLOOKUP($B18,Tableau7[#All],IF($C18=1,30,32),0)</f>
        <v>911</v>
      </c>
      <c r="F18" s="82">
        <f>VLOOKUP($B18,Tableau7[#All],IF($C18=1,31,33),0)</f>
        <v>9588</v>
      </c>
      <c r="G18" s="83" t="s">
        <v>112</v>
      </c>
      <c r="H18" s="83" t="s">
        <v>113</v>
      </c>
      <c r="I18" s="83" t="s">
        <v>114</v>
      </c>
      <c r="J18" s="144" t="str">
        <f>HYPERLINK(Q18,"ü")</f>
        <v>ü</v>
      </c>
      <c r="K18" s="144" t="str">
        <f>HYPERLINK(R18,"")</f>
        <v></v>
      </c>
      <c r="L18" s="75">
        <f t="shared" si="7"/>
        <v>2.6666666666666665</v>
      </c>
      <c r="M18" s="75">
        <f t="shared" si="8"/>
        <v>4.166666666666667</v>
      </c>
      <c r="N18" s="75">
        <f t="shared" si="9"/>
        <v>11.375</v>
      </c>
      <c r="O18" s="74">
        <f>IF(P18=Calculateur!$E$3,1,IF(O25=1,2,0))</f>
        <v>0</v>
      </c>
      <c r="P18" s="76" t="s">
        <v>111</v>
      </c>
      <c r="Q18" s="69" t="s">
        <v>172</v>
      </c>
      <c r="R18" s="69" t="s">
        <v>192</v>
      </c>
    </row>
    <row r="19" spans="1:18" s="53" customFormat="1" ht="13.5" thickBot="1">
      <c r="A19" s="74" t="str">
        <f t="shared" si="6"/>
        <v>MARSEILLE2</v>
      </c>
      <c r="B19" s="74" t="str">
        <f>D18</f>
        <v>MARSEILLE</v>
      </c>
      <c r="C19" s="74">
        <f>C25</f>
        <v>2</v>
      </c>
      <c r="D19" s="77" t="str">
        <f>"Départ Décalé "&amp;P19</f>
        <v>Départ Décalé ATHIS-MONS</v>
      </c>
      <c r="E19" s="78">
        <f>VLOOKUP($B19,Tableau7[#All],IF($C19=1,30,32),0)</f>
        <v>895</v>
      </c>
      <c r="F19" s="78">
        <f>VLOOKUP($B19,Tableau7[#All],IF($C19=1,31,33),0)</f>
        <v>9465</v>
      </c>
      <c r="G19" s="80" t="s">
        <v>115</v>
      </c>
      <c r="H19" s="80" t="s">
        <v>116</v>
      </c>
      <c r="I19" s="80" t="s">
        <v>117</v>
      </c>
      <c r="J19" s="144"/>
      <c r="K19" s="144" t="str">
        <f t="shared" ref="K19" si="15">K18</f>
        <v></v>
      </c>
      <c r="L19" s="75">
        <f t="shared" si="7"/>
        <v>2.6145833333333335</v>
      </c>
      <c r="M19" s="75">
        <f t="shared" si="8"/>
        <v>4.104166666666667</v>
      </c>
      <c r="N19" s="75">
        <f t="shared" si="9"/>
        <v>11.208333333333334</v>
      </c>
      <c r="O19" s="74">
        <f>IF(P19=Calculateur!$E$3,1,IF(O18=1,2,0))</f>
        <v>0</v>
      </c>
      <c r="P19" s="79" t="str">
        <f>VLOOKUP(B19,Tableau7[[#All],[Flèche]:[Etape 0]],3,0)</f>
        <v>ATHIS-MONS</v>
      </c>
      <c r="Q19" s="70"/>
      <c r="R19" s="70"/>
    </row>
    <row r="20" spans="1:18" s="53" customFormat="1" ht="13.5" thickBot="1">
      <c r="A20" s="74" t="str">
        <f t="shared" si="6"/>
        <v>PERPIGNAN1</v>
      </c>
      <c r="B20" s="74" t="str">
        <f>D20</f>
        <v>PERPIGNAN</v>
      </c>
      <c r="C20" s="74">
        <f>C16</f>
        <v>1</v>
      </c>
      <c r="D20" s="81" t="s">
        <v>125</v>
      </c>
      <c r="E20" s="82">
        <f>VLOOKUP($B20,Tableau7[#All],IF($C20=1,30,32),0)</f>
        <v>983</v>
      </c>
      <c r="F20" s="82">
        <f>VLOOKUP($B20,Tableau7[#All],IF($C20=1,31,33),0)</f>
        <v>11342</v>
      </c>
      <c r="G20" s="83" t="s">
        <v>32</v>
      </c>
      <c r="H20" s="83" t="s">
        <v>120</v>
      </c>
      <c r="I20" s="83" t="s">
        <v>126</v>
      </c>
      <c r="J20" s="144" t="str">
        <f>HYPERLINK(Q20,"ü")</f>
        <v>ü</v>
      </c>
      <c r="K20" s="144" t="str">
        <f>HYPERLINK(R20,"")</f>
        <v></v>
      </c>
      <c r="L20" s="75">
        <f t="shared" si="7"/>
        <v>3.25</v>
      </c>
      <c r="M20" s="75">
        <f t="shared" si="8"/>
        <v>5</v>
      </c>
      <c r="N20" s="75">
        <f t="shared" si="9"/>
        <v>12.291666666666666</v>
      </c>
      <c r="O20" s="74">
        <f>IF(P20=Calculateur!$E$3,1,IF(O17=1,2,0))</f>
        <v>0</v>
      </c>
      <c r="P20" s="76" t="s">
        <v>125</v>
      </c>
      <c r="Q20" s="69" t="s">
        <v>174</v>
      </c>
      <c r="R20" s="69" t="s">
        <v>155</v>
      </c>
    </row>
    <row r="21" spans="1:18" s="53" customFormat="1" ht="13.5" thickBot="1">
      <c r="A21" s="74" t="str">
        <f t="shared" si="6"/>
        <v>PERPIGNAN2</v>
      </c>
      <c r="B21" s="74" t="str">
        <f>D20</f>
        <v>PERPIGNAN</v>
      </c>
      <c r="C21" s="74">
        <f>C17</f>
        <v>2</v>
      </c>
      <c r="D21" s="77" t="str">
        <f>"Départ Décalé "&amp;P21</f>
        <v>Départ Décalé SAVIGNY SUR ORGE</v>
      </c>
      <c r="E21" s="78">
        <f>VLOOKUP($B21,Tableau7[#All],IF($C21=1,30,32),0)</f>
        <v>964</v>
      </c>
      <c r="F21" s="78">
        <f>VLOOKUP($B21,Tableau7[#All],IF($C21=1,31,33),0)</f>
        <v>11232</v>
      </c>
      <c r="G21" s="80" t="s">
        <v>127</v>
      </c>
      <c r="H21" s="80" t="s">
        <v>52</v>
      </c>
      <c r="I21" s="80" t="s">
        <v>128</v>
      </c>
      <c r="J21" s="144"/>
      <c r="K21" s="144" t="str">
        <f t="shared" ref="K21" si="16">K20</f>
        <v></v>
      </c>
      <c r="L21" s="75">
        <f t="shared" si="7"/>
        <v>3.1875</v>
      </c>
      <c r="M21" s="75">
        <f t="shared" si="8"/>
        <v>4.916666666666667</v>
      </c>
      <c r="N21" s="75">
        <f t="shared" si="9"/>
        <v>12.083333333333334</v>
      </c>
      <c r="O21" s="74">
        <f>IF(P21=Calculateur!$E$3,1,IF(O20=1,2,0))</f>
        <v>0</v>
      </c>
      <c r="P21" s="79" t="str">
        <f>VLOOKUP(B21,Tableau7[[#All],[Flèche]:[Etape 0]],3,0)</f>
        <v>SAVIGNY SUR ORGE</v>
      </c>
      <c r="Q21" s="70"/>
      <c r="R21" s="70"/>
    </row>
    <row r="22" spans="1:18" s="53" customFormat="1" ht="13.5" thickBot="1">
      <c r="A22" s="74" t="str">
        <f t="shared" si="6"/>
        <v>LUCHON1</v>
      </c>
      <c r="B22" s="74" t="str">
        <f>D22</f>
        <v>LUCHON</v>
      </c>
      <c r="C22" s="74">
        <f>C14</f>
        <v>1</v>
      </c>
      <c r="D22" s="81" t="s">
        <v>102</v>
      </c>
      <c r="E22" s="82">
        <f>VLOOKUP($B22,Tableau7[#All],IF($C22=1,30,32),0)</f>
        <v>861</v>
      </c>
      <c r="F22" s="82">
        <f>VLOOKUP($B22,Tableau7[#All],IF($C22=1,31,33),0)</f>
        <v>8311</v>
      </c>
      <c r="G22" s="83" t="s">
        <v>94</v>
      </c>
      <c r="H22" s="83" t="s">
        <v>103</v>
      </c>
      <c r="I22" s="83" t="s">
        <v>104</v>
      </c>
      <c r="J22" s="144" t="str">
        <f>HYPERLINK(Q22,"ü")</f>
        <v>ü</v>
      </c>
      <c r="K22" s="144" t="str">
        <f>HYPERLINK(R22,"")</f>
        <v></v>
      </c>
      <c r="L22" s="75">
        <f t="shared" si="7"/>
        <v>2.5833333333333335</v>
      </c>
      <c r="M22" s="75">
        <f t="shared" si="8"/>
        <v>3.5833333333333335</v>
      </c>
      <c r="N22" s="75">
        <f t="shared" si="9"/>
        <v>10.75</v>
      </c>
      <c r="O22" s="74">
        <f>IF(P22=Calculateur!$E$3,1,IF(O15=1,2,0))</f>
        <v>0</v>
      </c>
      <c r="P22" s="76" t="s">
        <v>102</v>
      </c>
      <c r="Q22" s="69" t="s">
        <v>170</v>
      </c>
      <c r="R22" s="69" t="s">
        <v>190</v>
      </c>
    </row>
    <row r="23" spans="1:18" s="53" customFormat="1" ht="13.5" thickBot="1">
      <c r="A23" s="74" t="str">
        <f t="shared" si="6"/>
        <v>LUCHON2</v>
      </c>
      <c r="B23" s="74" t="str">
        <f>D22</f>
        <v>LUCHON</v>
      </c>
      <c r="C23" s="74">
        <f>C15</f>
        <v>2</v>
      </c>
      <c r="D23" s="77" t="str">
        <f>"Départ Décalé "&amp;P23</f>
        <v>Départ Décalé PALAISEAU</v>
      </c>
      <c r="E23" s="78">
        <f>VLOOKUP($B23,Tableau7[#All],IF($C23=1,30,32),0)</f>
        <v>846</v>
      </c>
      <c r="F23" s="78">
        <f>VLOOKUP($B23,Tableau7[#All],IF($C23=1,31,33),0)</f>
        <v>8185</v>
      </c>
      <c r="G23" s="80" t="s">
        <v>105</v>
      </c>
      <c r="H23" s="80" t="s">
        <v>106</v>
      </c>
      <c r="I23" s="80" t="s">
        <v>107</v>
      </c>
      <c r="J23" s="144"/>
      <c r="K23" s="144" t="str">
        <f t="shared" ref="K23" si="17">K22</f>
        <v></v>
      </c>
      <c r="L23" s="75">
        <f t="shared" si="7"/>
        <v>2.4479166666666665</v>
      </c>
      <c r="M23" s="75">
        <f t="shared" si="8"/>
        <v>3.5208333333333335</v>
      </c>
      <c r="N23" s="75">
        <f t="shared" si="9"/>
        <v>9.75</v>
      </c>
      <c r="O23" s="74">
        <f>IF(P23=Calculateur!$E$3,1,IF(O22=1,2,0))</f>
        <v>0</v>
      </c>
      <c r="P23" s="79" t="str">
        <f>VLOOKUP(B23,Tableau7[[#All],[Flèche]:[Etape 0]],3,0)</f>
        <v>PALAISEAU</v>
      </c>
      <c r="Q23" s="70"/>
      <c r="R23" s="70"/>
    </row>
    <row r="24" spans="1:18" s="53" customFormat="1" ht="13.5" thickBot="1">
      <c r="A24" s="74" t="str">
        <f t="shared" si="6"/>
        <v>HENDAYE1</v>
      </c>
      <c r="B24" s="74" t="str">
        <f>D24</f>
        <v>HENDAYE</v>
      </c>
      <c r="C24" s="74">
        <f>C22</f>
        <v>1</v>
      </c>
      <c r="D24" s="81" t="s">
        <v>108</v>
      </c>
      <c r="E24" s="82">
        <f>VLOOKUP($B24,Tableau7[#All],IF($C24=1,30,32),0)</f>
        <v>902</v>
      </c>
      <c r="F24" s="82">
        <f>VLOOKUP($B24,Tableau7[#All],IF($C24=1,31,33),0)</f>
        <v>7221</v>
      </c>
      <c r="G24" s="83" t="s">
        <v>79</v>
      </c>
      <c r="H24" s="83" t="s">
        <v>103</v>
      </c>
      <c r="I24" s="83" t="s">
        <v>109</v>
      </c>
      <c r="J24" s="144" t="str">
        <f>HYPERLINK(Q24,"ü")</f>
        <v>ü</v>
      </c>
      <c r="K24" s="144" t="str">
        <f>HYPERLINK(R24,"")</f>
        <v></v>
      </c>
      <c r="L24" s="75">
        <f t="shared" si="7"/>
        <v>2.5</v>
      </c>
      <c r="M24" s="75">
        <f t="shared" si="8"/>
        <v>3.5833333333333335</v>
      </c>
      <c r="N24" s="75">
        <f t="shared" si="9"/>
        <v>11.25</v>
      </c>
      <c r="O24" s="74">
        <f>IF(P24=Calculateur!$E$3,1,IF(O23=1,2,0))</f>
        <v>0</v>
      </c>
      <c r="P24" s="76" t="s">
        <v>108</v>
      </c>
      <c r="Q24" s="69" t="s">
        <v>171</v>
      </c>
      <c r="R24" s="69" t="s">
        <v>191</v>
      </c>
    </row>
    <row r="25" spans="1:18" s="53" customFormat="1" ht="13.5" thickBot="1">
      <c r="A25" s="74" t="str">
        <f t="shared" si="6"/>
        <v>HENDAYE2</v>
      </c>
      <c r="B25" s="74" t="str">
        <f>D24</f>
        <v>HENDAYE</v>
      </c>
      <c r="C25" s="74">
        <f>C23</f>
        <v>2</v>
      </c>
      <c r="D25" s="77" t="str">
        <f>"Départ Décalé "&amp;P25</f>
        <v>Départ Décalé BIEVRES</v>
      </c>
      <c r="E25" s="78">
        <f>VLOOKUP($B25,Tableau7[#All],IF($C25=1,30,32),0)</f>
        <v>889</v>
      </c>
      <c r="F25" s="78">
        <f>VLOOKUP($B25,Tableau7[#All],IF($C25=1,31,33),0)</f>
        <v>7024</v>
      </c>
      <c r="G25" s="80" t="s">
        <v>105</v>
      </c>
      <c r="H25" s="80" t="s">
        <v>106</v>
      </c>
      <c r="I25" s="80" t="s">
        <v>110</v>
      </c>
      <c r="J25" s="144"/>
      <c r="K25" s="144" t="str">
        <f t="shared" ref="K25" si="18">K24</f>
        <v></v>
      </c>
      <c r="L25" s="75">
        <f t="shared" si="7"/>
        <v>2.4479166666666665</v>
      </c>
      <c r="M25" s="75">
        <f t="shared" si="8"/>
        <v>3.5208333333333335</v>
      </c>
      <c r="N25" s="75">
        <f t="shared" si="9"/>
        <v>11.125</v>
      </c>
      <c r="O25" s="74">
        <f>IF(P25=Calculateur!$E$3,1,IF(O24=1,2,0))</f>
        <v>0</v>
      </c>
      <c r="P25" s="79" t="str">
        <f>VLOOKUP(B25,Tableau7[[#All],[Flèche]:[Etape 0]],3,0)</f>
        <v>BIEVRES</v>
      </c>
      <c r="Q25" s="70"/>
      <c r="R25" s="70"/>
    </row>
    <row r="26" spans="1:18" s="53" customFormat="1" ht="13.5" thickBot="1">
      <c r="A26" s="74" t="str">
        <f t="shared" si="6"/>
        <v>BORDEAUX1</v>
      </c>
      <c r="B26" s="74" t="str">
        <f>D26</f>
        <v>BORDEAUX</v>
      </c>
      <c r="C26" s="74">
        <f>C32</f>
        <v>1</v>
      </c>
      <c r="D26" s="81" t="s">
        <v>90</v>
      </c>
      <c r="E26" s="82">
        <f>VLOOKUP($B26,Tableau7[#All],IF($C26=1,30,32),0)</f>
        <v>659</v>
      </c>
      <c r="F26" s="82">
        <f>VLOOKUP($B26,Tableau7[#All],IF($C26=1,31,33),0)</f>
        <v>4437</v>
      </c>
      <c r="G26" s="83" t="s">
        <v>51</v>
      </c>
      <c r="H26" s="83" t="s">
        <v>91</v>
      </c>
      <c r="I26" s="83" t="s">
        <v>92</v>
      </c>
      <c r="J26" s="144" t="str">
        <f>HYPERLINK(Q26,"ü")</f>
        <v>ü</v>
      </c>
      <c r="K26" s="144" t="str">
        <f>HYPERLINK(R26,"")</f>
        <v></v>
      </c>
      <c r="L26" s="75">
        <f t="shared" si="7"/>
        <v>1.4583333333333333</v>
      </c>
      <c r="M26" s="75">
        <f t="shared" si="8"/>
        <v>2.625</v>
      </c>
      <c r="N26" s="75">
        <f t="shared" si="9"/>
        <v>7.75</v>
      </c>
      <c r="O26" s="74">
        <f>IF(P26=Calculateur!$E$3,1,IF(O33=1,2,0))</f>
        <v>0</v>
      </c>
      <c r="P26" s="76" t="s">
        <v>90</v>
      </c>
      <c r="Q26" s="69" t="s">
        <v>168</v>
      </c>
      <c r="R26" s="69" t="s">
        <v>188</v>
      </c>
    </row>
    <row r="27" spans="1:18" s="53" customFormat="1" ht="13.5" thickBot="1">
      <c r="A27" s="74" t="str">
        <f t="shared" si="6"/>
        <v>BORDEAUX2</v>
      </c>
      <c r="B27" s="74" t="str">
        <f>D26</f>
        <v>BORDEAUX</v>
      </c>
      <c r="C27" s="74">
        <f>C33</f>
        <v>2</v>
      </c>
      <c r="D27" s="77" t="str">
        <f>"Départ Décalé "&amp;P27</f>
        <v>Départ Décalé MASSY GARE</v>
      </c>
      <c r="E27" s="78">
        <f>VLOOKUP($B27,Tableau7[#All],IF($C27=1,30,32),0)</f>
        <v>645</v>
      </c>
      <c r="F27" s="78">
        <f>VLOOKUP($B27,Tableau7[#All],IF($C27=1,31,33),0)</f>
        <v>4335</v>
      </c>
      <c r="G27" s="80" t="s">
        <v>93</v>
      </c>
      <c r="H27" s="80" t="s">
        <v>94</v>
      </c>
      <c r="I27" s="80" t="s">
        <v>95</v>
      </c>
      <c r="J27" s="144"/>
      <c r="K27" s="144" t="str">
        <f t="shared" ref="K27" si="19">K26</f>
        <v></v>
      </c>
      <c r="L27" s="75">
        <f t="shared" si="7"/>
        <v>1.4236111111111109</v>
      </c>
      <c r="M27" s="75">
        <f t="shared" si="8"/>
        <v>2.5833333333333335</v>
      </c>
      <c r="N27" s="75">
        <f t="shared" si="9"/>
        <v>7.5625</v>
      </c>
      <c r="O27" s="74">
        <f>IF(P27=Calculateur!$E$3,1,IF(O26=1,2,0))</f>
        <v>0</v>
      </c>
      <c r="P27" s="79" t="str">
        <f>VLOOKUP(B27,Tableau7[[#All],[Flèche]:[Etape 0]],3,0)</f>
        <v>MASSY GARE</v>
      </c>
      <c r="Q27" s="70"/>
      <c r="R27" s="70"/>
    </row>
    <row r="28" spans="1:18" s="53" customFormat="1" ht="13.5" thickBot="1">
      <c r="A28" s="74" t="str">
        <f t="shared" si="6"/>
        <v>LA ROCHELLE1</v>
      </c>
      <c r="B28" s="74" t="str">
        <f>D28</f>
        <v>LA ROCHELLE</v>
      </c>
      <c r="C28" s="74">
        <f>C10</f>
        <v>1</v>
      </c>
      <c r="D28" s="81" t="s">
        <v>65</v>
      </c>
      <c r="E28" s="82">
        <f>VLOOKUP($B28,Tableau7[#All],IF($C28=1,30,32),0)</f>
        <v>488</v>
      </c>
      <c r="F28" s="82">
        <f>VLOOKUP($B28,Tableau7[#All],IF($C28=1,31,33),0)</f>
        <v>3581</v>
      </c>
      <c r="G28" s="83" t="s">
        <v>66</v>
      </c>
      <c r="H28" s="83" t="s">
        <v>60</v>
      </c>
      <c r="I28" s="83" t="s">
        <v>67</v>
      </c>
      <c r="J28" s="144" t="str">
        <f>HYPERLINK(Q28,"ü")</f>
        <v>ü</v>
      </c>
      <c r="K28" s="144" t="str">
        <f>HYPERLINK(R28,"")</f>
        <v></v>
      </c>
      <c r="L28" s="75">
        <f t="shared" si="7"/>
        <v>1.0173611111111112</v>
      </c>
      <c r="M28" s="75">
        <f t="shared" si="8"/>
        <v>1.6666666666666667</v>
      </c>
      <c r="N28" s="75">
        <f t="shared" si="9"/>
        <v>6.083333333333333</v>
      </c>
      <c r="O28" s="74">
        <f>IF(P28=Calculateur!$E$3,1,IF(O11=1,2,0))</f>
        <v>0</v>
      </c>
      <c r="P28" s="76" t="s">
        <v>65</v>
      </c>
      <c r="Q28" s="69" t="s">
        <v>164</v>
      </c>
      <c r="R28" s="69" t="s">
        <v>184</v>
      </c>
    </row>
    <row r="29" spans="1:18" s="53" customFormat="1" ht="13.5" thickBot="1">
      <c r="A29" s="74" t="str">
        <f t="shared" si="6"/>
        <v>LA ROCHELLE2</v>
      </c>
      <c r="B29" s="74" t="str">
        <f>D28</f>
        <v>LA ROCHELLE</v>
      </c>
      <c r="C29" s="74">
        <f>C11</f>
        <v>2</v>
      </c>
      <c r="D29" s="77" t="str">
        <f>"Départ Décalé "&amp;P29</f>
        <v>Départ Décalé JOUY EN JOSAS</v>
      </c>
      <c r="E29" s="78">
        <f>VLOOKUP($B29,Tableau7[#All],IF($C29=1,30,32),0)</f>
        <v>472</v>
      </c>
      <c r="F29" s="78">
        <f>VLOOKUP($B29,Tableau7[#All],IF($C29=1,31,33),0)</f>
        <v>3324</v>
      </c>
      <c r="G29" s="80" t="s">
        <v>68</v>
      </c>
      <c r="H29" s="80" t="s">
        <v>63</v>
      </c>
      <c r="I29" s="80" t="s">
        <v>69</v>
      </c>
      <c r="J29" s="144"/>
      <c r="K29" s="144" t="str">
        <f t="shared" ref="K29" si="20">K28</f>
        <v></v>
      </c>
      <c r="L29" s="75">
        <f t="shared" si="7"/>
        <v>0.98263888888888884</v>
      </c>
      <c r="M29" s="75">
        <f t="shared" si="8"/>
        <v>1.5833333333333333</v>
      </c>
      <c r="N29" s="75">
        <f t="shared" si="9"/>
        <v>5.875</v>
      </c>
      <c r="O29" s="74">
        <f>IF(P29=Calculateur!$E$3,1,IF(O28=1,2,0))</f>
        <v>0</v>
      </c>
      <c r="P29" s="79" t="str">
        <f>VLOOKUP(B29,Tableau7[[#All],[Flèche]:[Etape 0]],3,0)</f>
        <v>JOUY EN JOSAS</v>
      </c>
      <c r="Q29" s="70"/>
      <c r="R29" s="70"/>
    </row>
    <row r="30" spans="1:18" s="53" customFormat="1" ht="13.5" thickBot="1">
      <c r="A30" s="74" t="str">
        <f t="shared" si="6"/>
        <v>NANTES1</v>
      </c>
      <c r="B30" s="74" t="str">
        <f>D30</f>
        <v>NANTES</v>
      </c>
      <c r="C30" s="74">
        <f>C36</f>
        <v>1</v>
      </c>
      <c r="D30" s="81" t="s">
        <v>53</v>
      </c>
      <c r="E30" s="82">
        <f>VLOOKUP($B30,Tableau7[#All],IF($C30=1,30,32),0)</f>
        <v>431</v>
      </c>
      <c r="F30" s="82">
        <f>VLOOKUP($B30,Tableau7[#All],IF($C30=1,31,33),0)</f>
        <v>2482</v>
      </c>
      <c r="G30" s="83" t="s">
        <v>47</v>
      </c>
      <c r="H30" s="83" t="s">
        <v>48</v>
      </c>
      <c r="I30" s="83" t="s">
        <v>54</v>
      </c>
      <c r="J30" s="144" t="str">
        <f>HYPERLINK(Q30,"ü")</f>
        <v>ü</v>
      </c>
      <c r="K30" s="144" t="str">
        <f>HYPERLINK(R30,"")</f>
        <v></v>
      </c>
      <c r="L30" s="75">
        <f t="shared" si="7"/>
        <v>0.83333333333333337</v>
      </c>
      <c r="M30" s="75">
        <f t="shared" si="8"/>
        <v>1.5</v>
      </c>
      <c r="N30" s="75">
        <f t="shared" si="9"/>
        <v>5.375</v>
      </c>
      <c r="O30" s="74">
        <f>IF(P30=Calculateur!$E$3,1,IF(O37=1,2,0))</f>
        <v>0</v>
      </c>
      <c r="P30" s="76" t="s">
        <v>53</v>
      </c>
      <c r="Q30" s="69" t="s">
        <v>162</v>
      </c>
      <c r="R30" s="69" t="s">
        <v>182</v>
      </c>
    </row>
    <row r="31" spans="1:18" s="53" customFormat="1" ht="13.5" thickBot="1">
      <c r="A31" s="74" t="str">
        <f t="shared" si="6"/>
        <v>NANTES2</v>
      </c>
      <c r="B31" s="74" t="str">
        <f>D30</f>
        <v>NANTES</v>
      </c>
      <c r="C31" s="74">
        <f>C37</f>
        <v>2</v>
      </c>
      <c r="D31" s="77" t="str">
        <f>"Départ Décalé "&amp;P31</f>
        <v>Départ Décalé VERSAILLES</v>
      </c>
      <c r="E31" s="78">
        <f>VLOOKUP($B31,Tableau7[#All],IF($C31=1,30,32),0)</f>
        <v>421</v>
      </c>
      <c r="F31" s="78">
        <f>VLOOKUP($B31,Tableau7[#All],IF($C31=1,31,33),0)</f>
        <v>2323</v>
      </c>
      <c r="G31" s="80" t="s">
        <v>55</v>
      </c>
      <c r="H31" s="80" t="s">
        <v>56</v>
      </c>
      <c r="I31" s="80" t="s">
        <v>57</v>
      </c>
      <c r="J31" s="144"/>
      <c r="K31" s="144" t="str">
        <f>K30</f>
        <v></v>
      </c>
      <c r="L31" s="75">
        <f t="shared" si="7"/>
        <v>0.8125</v>
      </c>
      <c r="M31" s="75">
        <f t="shared" si="8"/>
        <v>1.4722222222222223</v>
      </c>
      <c r="N31" s="75">
        <f t="shared" si="9"/>
        <v>5.25</v>
      </c>
      <c r="O31" s="74">
        <f>IF(P31=Calculateur!$E$3,1,IF(O30=1,2,0))</f>
        <v>0</v>
      </c>
      <c r="P31" s="79" t="str">
        <f>VLOOKUP(B31,Tableau7[[#All],[Flèche]:[Etape 0]],3,0)</f>
        <v>VERSAILLES</v>
      </c>
      <c r="Q31" s="70"/>
      <c r="R31" s="70"/>
    </row>
    <row r="32" spans="1:18" s="53" customFormat="1" ht="13.5" thickBot="1">
      <c r="A32" s="74" t="str">
        <f t="shared" si="6"/>
        <v>BREST1</v>
      </c>
      <c r="B32" s="74" t="str">
        <f>D32</f>
        <v>BREST</v>
      </c>
      <c r="C32" s="74">
        <f>C12</f>
        <v>1</v>
      </c>
      <c r="D32" s="81" t="s">
        <v>84</v>
      </c>
      <c r="E32" s="82">
        <f>VLOOKUP($B32,Tableau7[#All],IF($C32=1,30,32),0)</f>
        <v>616</v>
      </c>
      <c r="F32" s="82">
        <f>VLOOKUP($B32,Tableau7[#All],IF($C32=1,31,33),0)</f>
        <v>5607</v>
      </c>
      <c r="G32" s="83" t="s">
        <v>85</v>
      </c>
      <c r="H32" s="83" t="s">
        <v>86</v>
      </c>
      <c r="I32" s="83" t="s">
        <v>87</v>
      </c>
      <c r="J32" s="144" t="str">
        <f>HYPERLINK(Q32,"ü")</f>
        <v>ü</v>
      </c>
      <c r="K32" s="144" t="str">
        <f>HYPERLINK(R32,"")</f>
        <v></v>
      </c>
      <c r="L32" s="75">
        <f t="shared" si="7"/>
        <v>1.5104166666666667</v>
      </c>
      <c r="M32" s="75">
        <f t="shared" si="8"/>
        <v>2.5416666666666665</v>
      </c>
      <c r="N32" s="75">
        <f t="shared" si="9"/>
        <v>7.708333333333333</v>
      </c>
      <c r="O32" s="74">
        <f>IF(P32=Calculateur!$E$3,1,IF(O13=1,2,0))</f>
        <v>0</v>
      </c>
      <c r="P32" s="76" t="s">
        <v>84</v>
      </c>
      <c r="Q32" s="69" t="s">
        <v>167</v>
      </c>
      <c r="R32" s="69" t="s">
        <v>187</v>
      </c>
    </row>
    <row r="33" spans="1:18" s="53" customFormat="1" ht="13.5" thickBot="1">
      <c r="A33" s="74" t="str">
        <f t="shared" si="6"/>
        <v>BREST2</v>
      </c>
      <c r="B33" s="74" t="str">
        <f>D32</f>
        <v>BREST</v>
      </c>
      <c r="C33" s="74">
        <f>C13</f>
        <v>2</v>
      </c>
      <c r="D33" s="77" t="str">
        <f>"Départ Décalé "&amp;P33</f>
        <v>Départ Décalé VERSAILLES</v>
      </c>
      <c r="E33" s="78">
        <f>VLOOKUP($B33,Tableau7[#All],IF($C33=1,30,32),0)</f>
        <v>604</v>
      </c>
      <c r="F33" s="78">
        <f>VLOOKUP($B33,Tableau7[#All],IF($C33=1,31,33),0)</f>
        <v>5411</v>
      </c>
      <c r="G33" s="80" t="s">
        <v>88</v>
      </c>
      <c r="H33" s="80" t="s">
        <v>79</v>
      </c>
      <c r="I33" s="80" t="s">
        <v>89</v>
      </c>
      <c r="J33" s="144"/>
      <c r="K33" s="144" t="str">
        <f t="shared" ref="K33" si="21">K32</f>
        <v></v>
      </c>
      <c r="L33" s="75">
        <f t="shared" si="7"/>
        <v>1.4826388888888891</v>
      </c>
      <c r="M33" s="75">
        <f t="shared" si="8"/>
        <v>2.5</v>
      </c>
      <c r="N33" s="75">
        <f t="shared" si="9"/>
        <v>7.541666666666667</v>
      </c>
      <c r="O33" s="74">
        <f>IF(P33=Calculateur!$E$3,1,IF(O32=1,2,0))</f>
        <v>0</v>
      </c>
      <c r="P33" s="79" t="str">
        <f>VLOOKUP(B33,Tableau7[[#All],[Flèche]:[Etape 0]],3,0)</f>
        <v>VERSAILLES</v>
      </c>
      <c r="Q33" s="70"/>
      <c r="R33" s="70"/>
    </row>
    <row r="34" spans="1:18" s="53" customFormat="1" ht="13.5" thickBot="1">
      <c r="A34" s="74" t="str">
        <f t="shared" si="6"/>
        <v>MONT ST MICHEL1</v>
      </c>
      <c r="B34" s="74" t="str">
        <f>D34</f>
        <v>MONT ST MICHEL</v>
      </c>
      <c r="C34" s="74">
        <f>C2</f>
        <v>1</v>
      </c>
      <c r="D34" s="81" t="s">
        <v>40</v>
      </c>
      <c r="E34" s="82">
        <f>VLOOKUP($B34,Tableau7[#All],IF($C34=1,30,32),0)</f>
        <v>325</v>
      </c>
      <c r="F34" s="82">
        <f>VLOOKUP($B34,Tableau7[#All],IF($C34=1,31,33),0)</f>
        <v>3108</v>
      </c>
      <c r="G34" s="83" t="s">
        <v>28</v>
      </c>
      <c r="H34" s="83" t="s">
        <v>41</v>
      </c>
      <c r="I34" s="83" t="s">
        <v>42</v>
      </c>
      <c r="J34" s="144" t="str">
        <f>HYPERLINK(Q34,"ü")</f>
        <v>ü</v>
      </c>
      <c r="K34" s="144" t="str">
        <f>HYPERLINK(R34,"")</f>
        <v></v>
      </c>
      <c r="L34" s="75">
        <f t="shared" si="7"/>
        <v>0.63541666666666663</v>
      </c>
      <c r="M34" s="75">
        <f t="shared" si="8"/>
        <v>0.81944444444444453</v>
      </c>
      <c r="N34" s="75">
        <f t="shared" si="9"/>
        <v>4.083333333333333</v>
      </c>
      <c r="O34" s="74">
        <f>IF(P34=Calculateur!$E$3,1,IF(O3=1,2,0))</f>
        <v>0</v>
      </c>
      <c r="P34" s="76" t="s">
        <v>40</v>
      </c>
      <c r="Q34" s="69" t="s">
        <v>160</v>
      </c>
      <c r="R34" s="69" t="s">
        <v>180</v>
      </c>
    </row>
    <row r="35" spans="1:18" s="53" customFormat="1" ht="13.5" thickBot="1">
      <c r="A35" s="74" t="str">
        <f t="shared" si="6"/>
        <v>MONT ST MICHEL2</v>
      </c>
      <c r="B35" s="74" t="str">
        <f>D34</f>
        <v>MONT ST MICHEL</v>
      </c>
      <c r="C35" s="74">
        <f>C3</f>
        <v>2</v>
      </c>
      <c r="D35" s="77" t="str">
        <f>"Départ Décalé "&amp;P35</f>
        <v>Départ Décalé NOISY LE ROI</v>
      </c>
      <c r="E35" s="78">
        <f>VLOOKUP($B35,Tableau7[#All],IF($C35=1,30,32),0)</f>
        <v>308</v>
      </c>
      <c r="F35" s="78">
        <f>VLOOKUP($B35,Tableau7[#All],IF($C35=1,31,33),0)</f>
        <v>2890</v>
      </c>
      <c r="G35" s="80" t="s">
        <v>43</v>
      </c>
      <c r="H35" s="80" t="s">
        <v>44</v>
      </c>
      <c r="I35" s="80" t="s">
        <v>45</v>
      </c>
      <c r="J35" s="144"/>
      <c r="K35" s="144" t="str">
        <f t="shared" ref="K35" si="22">K34</f>
        <v></v>
      </c>
      <c r="L35" s="75">
        <f t="shared" si="7"/>
        <v>0.58333333333333337</v>
      </c>
      <c r="M35" s="75">
        <f t="shared" si="8"/>
        <v>0.75694444444444453</v>
      </c>
      <c r="N35" s="75">
        <f t="shared" si="9"/>
        <v>3.875</v>
      </c>
      <c r="O35" s="74">
        <f>IF(P35=Calculateur!$E$3,1,IF(O34=1,2,0))</f>
        <v>0</v>
      </c>
      <c r="P35" s="79" t="str">
        <f>VLOOKUP(B35,Tableau7[[#All],[Flèche]:[Etape 0]],3,0)</f>
        <v>NOISY LE ROI</v>
      </c>
      <c r="Q35" s="70"/>
      <c r="R35" s="70"/>
    </row>
    <row r="36" spans="1:18" s="53" customFormat="1" ht="13.5" thickBot="1">
      <c r="A36" s="74" t="str">
        <f t="shared" si="6"/>
        <v>CHERBOURG1</v>
      </c>
      <c r="B36" s="74" t="str">
        <f>D36</f>
        <v>CHERBOURG</v>
      </c>
      <c r="C36" s="74">
        <f>C34</f>
        <v>1</v>
      </c>
      <c r="D36" s="81" t="s">
        <v>46</v>
      </c>
      <c r="E36" s="82">
        <f>VLOOKUP($B36,Tableau7[#All],IF($C36=1,30,32),0)</f>
        <v>406</v>
      </c>
      <c r="F36" s="82">
        <f>VLOOKUP($B36,Tableau7[#All],IF($C36=1,31,33),0)</f>
        <v>3596</v>
      </c>
      <c r="G36" s="83" t="s">
        <v>47</v>
      </c>
      <c r="H36" s="83" t="s">
        <v>48</v>
      </c>
      <c r="I36" s="83" t="s">
        <v>49</v>
      </c>
      <c r="J36" s="144" t="str">
        <f>HYPERLINK(Q36,"ü")</f>
        <v>ü</v>
      </c>
      <c r="K36" s="144" t="str">
        <f>HYPERLINK(R36,"")</f>
        <v></v>
      </c>
      <c r="L36" s="75">
        <f t="shared" si="7"/>
        <v>0.83333333333333337</v>
      </c>
      <c r="M36" s="75">
        <f t="shared" si="8"/>
        <v>1.5</v>
      </c>
      <c r="N36" s="75">
        <f t="shared" si="9"/>
        <v>5.083333333333333</v>
      </c>
      <c r="O36" s="74">
        <f>IF(P36=Calculateur!$E$3,1,IF(O35=1,2,0))</f>
        <v>0</v>
      </c>
      <c r="P36" s="76" t="s">
        <v>46</v>
      </c>
      <c r="Q36" s="69" t="s">
        <v>161</v>
      </c>
      <c r="R36" s="69" t="s">
        <v>181</v>
      </c>
    </row>
    <row r="37" spans="1:18" s="53" customFormat="1" ht="13.5" thickBot="1">
      <c r="A37" s="74" t="str">
        <f t="shared" si="6"/>
        <v>CHERBOURG2</v>
      </c>
      <c r="B37" s="74" t="str">
        <f>D36</f>
        <v>CHERBOURG</v>
      </c>
      <c r="C37" s="74">
        <f>C35</f>
        <v>2</v>
      </c>
      <c r="D37" s="77" t="str">
        <f>"Départ Décalé "&amp;P37</f>
        <v>Départ Décalé LE PECQ</v>
      </c>
      <c r="E37" s="78">
        <f>VLOOKUP($B37,Tableau7[#All],IF($C37=1,30,32),0)</f>
        <v>390</v>
      </c>
      <c r="F37" s="78">
        <f>VLOOKUP($B37,Tableau7[#All],IF($C37=1,31,33),0)</f>
        <v>3388</v>
      </c>
      <c r="G37" s="80" t="s">
        <v>50</v>
      </c>
      <c r="H37" s="80" t="s">
        <v>51</v>
      </c>
      <c r="I37" s="80" t="s">
        <v>52</v>
      </c>
      <c r="J37" s="144"/>
      <c r="K37" s="144" t="str">
        <f t="shared" ref="K37" si="23">K36</f>
        <v></v>
      </c>
      <c r="L37" s="75">
        <f t="shared" si="7"/>
        <v>0.79166666666666663</v>
      </c>
      <c r="M37" s="75">
        <f t="shared" si="8"/>
        <v>1.4583333333333333</v>
      </c>
      <c r="N37" s="75">
        <f t="shared" si="9"/>
        <v>4.916666666666667</v>
      </c>
      <c r="O37" s="74">
        <f>IF(P37=Calculateur!$E$3,1,IF(O36=1,2,0))</f>
        <v>0</v>
      </c>
      <c r="P37" s="79" t="str">
        <f>VLOOKUP(B37,Tableau7[[#All],[Flèche]:[Etape 0]],3,0)</f>
        <v>LE PECQ</v>
      </c>
      <c r="Q37" s="70"/>
      <c r="R37" s="70"/>
    </row>
    <row r="38" spans="1:18" s="53" customFormat="1" ht="13.5" thickBot="1">
      <c r="A38" s="74" t="str">
        <f t="shared" si="6"/>
        <v>DIEPPE1</v>
      </c>
      <c r="B38" s="74" t="str">
        <f>D38</f>
        <v>DIEPPE</v>
      </c>
      <c r="C38" s="74">
        <v>1</v>
      </c>
      <c r="D38" s="81" t="s">
        <v>5</v>
      </c>
      <c r="E38" s="82">
        <f>VLOOKUP($B38,Tableau7[#All],IF($C38=1,30,32),0)</f>
        <v>192</v>
      </c>
      <c r="F38" s="82">
        <f>VLOOKUP($B38,Tableau7[#All],IF($C38=1,31,33),0)</f>
        <v>1421</v>
      </c>
      <c r="G38" s="83" t="s">
        <v>6</v>
      </c>
      <c r="H38" s="83" t="s">
        <v>7</v>
      </c>
      <c r="I38" s="83" t="s">
        <v>8</v>
      </c>
      <c r="J38" s="144" t="str">
        <f>HYPERLINK(Q38,"ü")</f>
        <v>ü</v>
      </c>
      <c r="K38" s="144" t="str">
        <f>HYPERLINK(R38,"")</f>
        <v></v>
      </c>
      <c r="L38" s="75">
        <f t="shared" si="7"/>
        <v>0.31944444444444448</v>
      </c>
      <c r="M38" s="75">
        <f t="shared" si="8"/>
        <v>0.39930555555555558</v>
      </c>
      <c r="N38" s="75">
        <f t="shared" si="9"/>
        <v>2.4166666666666665</v>
      </c>
      <c r="O38" s="74">
        <f>IF(P38=Calculateur!$E$3,1,IF(O1=1,2,0))</f>
        <v>0</v>
      </c>
      <c r="P38" s="76" t="s">
        <v>5</v>
      </c>
      <c r="Q38" s="69" t="s">
        <v>154</v>
      </c>
      <c r="R38" s="69" t="s">
        <v>175</v>
      </c>
    </row>
    <row r="39" spans="1:18" s="53" customFormat="1" ht="13.5" thickBot="1">
      <c r="A39" s="74" t="str">
        <f t="shared" si="6"/>
        <v>DIEPPE2</v>
      </c>
      <c r="B39" s="74" t="str">
        <f>D38</f>
        <v>DIEPPE</v>
      </c>
      <c r="C39" s="74">
        <v>2</v>
      </c>
      <c r="D39" s="77" t="str">
        <f>"Départ Décalé "&amp;P39</f>
        <v>Départ Décalé CORMEILLE EN PARISIS</v>
      </c>
      <c r="E39" s="78">
        <f>VLOOKUP($B39,Tableau7[#All],IF($C39=1,30,32),0)</f>
        <v>178</v>
      </c>
      <c r="F39" s="78">
        <f>VLOOKUP($B39,Tableau7[#All],IF($C39=1,31,33),0)</f>
        <v>1298</v>
      </c>
      <c r="G39" s="80" t="s">
        <v>9</v>
      </c>
      <c r="H39" s="80" t="s">
        <v>10</v>
      </c>
      <c r="I39" s="80" t="s">
        <v>11</v>
      </c>
      <c r="J39" s="144"/>
      <c r="K39" s="144" t="str">
        <f>K38</f>
        <v></v>
      </c>
      <c r="L39" s="75">
        <f t="shared" si="7"/>
        <v>0.2951388888888889</v>
      </c>
      <c r="M39" s="75">
        <f t="shared" si="8"/>
        <v>0.36805555555555558</v>
      </c>
      <c r="N39" s="75">
        <f t="shared" si="9"/>
        <v>2.2083333333333335</v>
      </c>
      <c r="O39" s="74">
        <f>IF(P39=Calculateur!$E$3,1,IF(O38=1,2,0))</f>
        <v>0</v>
      </c>
      <c r="P39" s="79" t="str">
        <f>VLOOKUP(B39,Tableau7[[#All],[Flèche]:[Etape 0]],3,0)</f>
        <v>CORMEILLE EN PARISIS</v>
      </c>
      <c r="Q39" s="70"/>
      <c r="R39" s="70"/>
    </row>
    <row r="40" spans="1:18" s="53" customFormat="1" ht="13.5" thickBot="1">
      <c r="A40" s="74" t="str">
        <f t="shared" si="6"/>
        <v>LE HAVRE1</v>
      </c>
      <c r="B40" s="74" t="str">
        <f>D40</f>
        <v>LE HAVRE</v>
      </c>
      <c r="C40" s="74">
        <f>C6</f>
        <v>1</v>
      </c>
      <c r="D40" s="81" t="s">
        <v>19</v>
      </c>
      <c r="E40" s="82">
        <f>VLOOKUP($B40,Tableau7[#All],IF($C40=1,30,32),0)</f>
        <v>256</v>
      </c>
      <c r="F40" s="82">
        <f>VLOOKUP($B40,Tableau7[#All],IF($C40=1,31,33),0)</f>
        <v>1782</v>
      </c>
      <c r="G40" s="83" t="s">
        <v>20</v>
      </c>
      <c r="H40" s="83" t="s">
        <v>21</v>
      </c>
      <c r="I40" s="83" t="s">
        <v>22</v>
      </c>
      <c r="J40" s="144" t="str">
        <f>HYPERLINK(Q40,"ü")</f>
        <v>ü</v>
      </c>
      <c r="K40" s="144" t="str">
        <f>HYPERLINK(R40,"")</f>
        <v></v>
      </c>
      <c r="L40" s="75">
        <f t="shared" si="7"/>
        <v>0.46180555555555558</v>
      </c>
      <c r="M40" s="75">
        <f t="shared" si="8"/>
        <v>0.59027777777777779</v>
      </c>
      <c r="N40" s="75">
        <f t="shared" si="9"/>
        <v>3.1666666666666665</v>
      </c>
      <c r="O40" s="74">
        <f>IF(P40=Calculateur!$E$3,1,IF(O7=1,2,0))</f>
        <v>0</v>
      </c>
      <c r="P40" s="76" t="s">
        <v>19</v>
      </c>
      <c r="Q40" s="69" t="s">
        <v>157</v>
      </c>
      <c r="R40" s="69" t="s">
        <v>177</v>
      </c>
    </row>
    <row r="41" spans="1:18" s="53" customFormat="1" ht="13.5" thickBot="1">
      <c r="A41" s="74" t="str">
        <f t="shared" si="6"/>
        <v>LE HAVRE2</v>
      </c>
      <c r="B41" s="74" t="str">
        <f>D40</f>
        <v>LE HAVRE</v>
      </c>
      <c r="C41" s="74">
        <f>C7</f>
        <v>2</v>
      </c>
      <c r="D41" s="77" t="str">
        <f>"Départ Décalé "&amp;P41</f>
        <v>Départ Décalé LA FRETTE</v>
      </c>
      <c r="E41" s="78">
        <f>VLOOKUP($B41,Tableau7[#All],IF($C41=1,30,32),0)</f>
        <v>240</v>
      </c>
      <c r="F41" s="78">
        <f>VLOOKUP($B41,Tableau7[#All],IF($C41=1,31,33),0)</f>
        <v>1657</v>
      </c>
      <c r="G41" s="80" t="s">
        <v>23</v>
      </c>
      <c r="H41" s="80" t="s">
        <v>24</v>
      </c>
      <c r="I41" s="80" t="s">
        <v>25</v>
      </c>
      <c r="J41" s="144"/>
      <c r="K41" s="144" t="str">
        <f t="shared" ref="K41" si="24">K40</f>
        <v></v>
      </c>
      <c r="L41" s="75">
        <f t="shared" si="7"/>
        <v>0.43055555555555558</v>
      </c>
      <c r="M41" s="75">
        <f t="shared" si="8"/>
        <v>0.5625</v>
      </c>
      <c r="N41" s="75">
        <f t="shared" si="9"/>
        <v>3</v>
      </c>
      <c r="O41" s="74">
        <f>IF(P41=Calculateur!$E$3,1,IF(O40=1,2,0))</f>
        <v>0</v>
      </c>
      <c r="P41" s="79" t="str">
        <f>VLOOKUP(B41,Tableau7[[#All],[Flèche]:[Etape 0]],3,0)</f>
        <v>LA FRETTE</v>
      </c>
      <c r="Q41" s="70"/>
      <c r="R41" s="70"/>
    </row>
    <row r="42" spans="1:18">
      <c r="D42" s="71"/>
      <c r="E42" s="71"/>
      <c r="F42" s="71"/>
      <c r="G42" s="71"/>
      <c r="H42" s="71"/>
      <c r="I42" s="71"/>
      <c r="Q42" s="2"/>
    </row>
  </sheetData>
  <sheetProtection algorithmName="SHA-512" hashValue="2xZ/cKlZuoWaLw7tQ/pYD4xneG10r6I6K2bSwy5djFZ1mgQ2flMy/Jdzgn77OtfwTTbtC0VzzUtyDX8JW1B6Mg==" saltValue="2GPzZ+Ps+fIcBE//0+3agw==" spinCount="100000" sheet="1" objects="1" scenarios="1"/>
  <mergeCells count="40">
    <mergeCell ref="J2:J3"/>
    <mergeCell ref="K2:K3"/>
    <mergeCell ref="J4:J5"/>
    <mergeCell ref="K4:K5"/>
    <mergeCell ref="J6:J7"/>
    <mergeCell ref="K6:K7"/>
    <mergeCell ref="J8:J9"/>
    <mergeCell ref="K8:K9"/>
    <mergeCell ref="J10:J11"/>
    <mergeCell ref="K10:K11"/>
    <mergeCell ref="J12:J13"/>
    <mergeCell ref="K12:K13"/>
    <mergeCell ref="J14:J15"/>
    <mergeCell ref="K14:K15"/>
    <mergeCell ref="J16:J17"/>
    <mergeCell ref="K16:K17"/>
    <mergeCell ref="J18:J19"/>
    <mergeCell ref="K18:K19"/>
    <mergeCell ref="J20:J21"/>
    <mergeCell ref="K20:K21"/>
    <mergeCell ref="J22:J23"/>
    <mergeCell ref="K22:K23"/>
    <mergeCell ref="J24:J25"/>
    <mergeCell ref="K24:K25"/>
    <mergeCell ref="J26:J27"/>
    <mergeCell ref="K26:K27"/>
    <mergeCell ref="J28:J29"/>
    <mergeCell ref="K28:K29"/>
    <mergeCell ref="J30:J31"/>
    <mergeCell ref="K30:K31"/>
    <mergeCell ref="J38:J39"/>
    <mergeCell ref="K38:K39"/>
    <mergeCell ref="J40:J41"/>
    <mergeCell ref="K40:K41"/>
    <mergeCell ref="J32:J33"/>
    <mergeCell ref="K32:K33"/>
    <mergeCell ref="J34:J35"/>
    <mergeCell ref="K34:K35"/>
    <mergeCell ref="J36:J37"/>
    <mergeCell ref="K36:K37"/>
  </mergeCells>
  <hyperlinks>
    <hyperlink ref="R6" r:id="rId1" xr:uid="{540F6EA4-2C2A-4FA1-B309-D3DADDD17CB3}"/>
    <hyperlink ref="R40" r:id="rId2" xr:uid="{756DDFDA-4832-4DB3-8EF1-F3F6B24AF848}"/>
    <hyperlink ref="R4" r:id="rId3" xr:uid="{948CAEAF-5AB2-4087-B527-D6F23ACCDB43}"/>
    <hyperlink ref="R2" r:id="rId4" xr:uid="{C8D4640F-D07F-4327-9DD2-FE1695C977A1}"/>
    <hyperlink ref="R34" r:id="rId5" xr:uid="{3ED4181E-2EC7-496E-B5C2-CC08E70E56A5}"/>
    <hyperlink ref="R36" r:id="rId6" xr:uid="{B5763D9D-785E-424D-9B7D-977B6AFBC032}"/>
    <hyperlink ref="R30" r:id="rId7" xr:uid="{74C23096-3913-468A-AB29-9DB723476AD9}"/>
    <hyperlink ref="R10" r:id="rId8" xr:uid="{3DFE06E9-7663-4E2B-A320-7C6C56B8B8ED}"/>
    <hyperlink ref="R28" r:id="rId9" xr:uid="{7ABD7068-63CD-463E-AB13-5CBC93850977}"/>
    <hyperlink ref="R8" r:id="rId10" xr:uid="{23DA7D41-DC2C-4C3B-84F7-2492AD86CB1C}"/>
    <hyperlink ref="R12" r:id="rId11" xr:uid="{CFCA4E77-6BA1-45F0-88D0-8979C63AEC78}"/>
    <hyperlink ref="R32" r:id="rId12" xr:uid="{092A445C-89AB-409B-9A01-A217A80738C8}"/>
    <hyperlink ref="R26" r:id="rId13" xr:uid="{A205D93F-625E-43AC-A342-13197A26467B}"/>
    <hyperlink ref="R14" r:id="rId14" xr:uid="{608AF806-3F1F-4A7F-9D56-ED36E744791B}"/>
    <hyperlink ref="R22" r:id="rId15" xr:uid="{54C0696F-8B7D-4679-85ED-F82F598DE2A9}"/>
    <hyperlink ref="R24" r:id="rId16" xr:uid="{64851640-E557-44ED-A0D3-7EB991F687CD}"/>
    <hyperlink ref="R18" r:id="rId17" xr:uid="{86EFB961-D321-47F9-A866-AAE167D8A260}"/>
    <hyperlink ref="R16" r:id="rId18" xr:uid="{E81613B9-37F8-4905-9BE2-24A3A3426927}"/>
    <hyperlink ref="R20" r:id="rId19" xr:uid="{5E18981D-DBFD-4F7E-903C-49646E361B65}"/>
    <hyperlink ref="R38" r:id="rId20" xr:uid="{B98E5514-C5C4-4F0E-AC92-2439C1D02485}"/>
    <hyperlink ref="Q38" r:id="rId21" xr:uid="{66735074-D33F-4175-9904-DF2264A35350}"/>
    <hyperlink ref="Q6" r:id="rId22" xr:uid="{CD7DCBA7-C513-4318-A42B-952D06B8ECD6}"/>
    <hyperlink ref="Q40" r:id="rId23" xr:uid="{BC536D2A-514A-4ED1-9E36-6EB0CF3684F3}"/>
    <hyperlink ref="Q4" r:id="rId24" xr:uid="{3C19A7E8-0634-4A71-9B8F-D8F43A999FBD}"/>
    <hyperlink ref="Q2" r:id="rId25" xr:uid="{D67FEF3D-AD6C-4DF9-B65C-42DD3AA42B41}"/>
    <hyperlink ref="Q34" r:id="rId26" xr:uid="{C58445DD-3365-4933-8307-F22302616FA1}"/>
    <hyperlink ref="Q36" r:id="rId27" xr:uid="{218C4DE1-1E1A-4F1A-A7B5-B1747504359B}"/>
    <hyperlink ref="Q30" r:id="rId28" xr:uid="{DAD0B04E-8FE1-4402-8205-9BF278ACE84E}"/>
    <hyperlink ref="Q10" r:id="rId29" xr:uid="{DE98F6D0-A033-420C-9AC6-1EB0AE0D846E}"/>
    <hyperlink ref="Q28" r:id="rId30" xr:uid="{7AE2E383-6F24-40C1-B811-C99900AE5C39}"/>
    <hyperlink ref="Q8" r:id="rId31" xr:uid="{AE56AAFD-8C09-4077-85C5-509BA313A9FF}"/>
    <hyperlink ref="Q12" r:id="rId32" xr:uid="{2206C180-0166-4C6B-A001-89DA6EAA98BF}"/>
    <hyperlink ref="Q32" r:id="rId33" xr:uid="{3A9AC0AB-082B-491D-8A07-F832C08E1EA5}"/>
    <hyperlink ref="Q26" r:id="rId34" xr:uid="{31B46FBE-0DC5-4B2D-8DBF-B57FBC60CEB4}"/>
    <hyperlink ref="Q14" r:id="rId35" xr:uid="{1F6F9CFE-3555-4734-B87B-6F9AA8A837DC}"/>
    <hyperlink ref="Q22" r:id="rId36" xr:uid="{70E638C1-6A60-4AA4-9260-D545BA85C5BD}"/>
    <hyperlink ref="Q24" r:id="rId37" xr:uid="{F40AF16B-79D1-48DD-B67C-99B467143C25}"/>
    <hyperlink ref="Q18" r:id="rId38" xr:uid="{B688D7B4-A739-415C-9194-35287AD208D6}"/>
    <hyperlink ref="Q16" r:id="rId39" xr:uid="{9E640904-500E-4588-AC1D-96F5BB2AE283}"/>
    <hyperlink ref="Q20" r:id="rId40" xr:uid="{BBBFA652-02B5-436A-AAE3-B68A88DB06CD}"/>
  </hyperlinks>
  <pageMargins left="0.7" right="0.7" top="0.75" bottom="0.75" header="0.3" footer="0.3"/>
  <pageSetup paperSize="9" orientation="portrait" r:id="rId41"/>
  <drawing r:id="rId4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48745-44B4-47A1-AFAA-32FB2A28F3F9}">
  <sheetPr codeName="Feuil4">
    <tabColor rgb="FF0B50AE"/>
  </sheetPr>
  <dimension ref="G2:T58"/>
  <sheetViews>
    <sheetView showGridLines="0" workbookViewId="0">
      <selection activeCell="B8" sqref="B8"/>
    </sheetView>
  </sheetViews>
  <sheetFormatPr baseColWidth="10" defaultColWidth="11.5" defaultRowHeight="14.25"/>
  <cols>
    <col min="1" max="1" width="5" customWidth="1"/>
    <col min="2" max="2" width="4.125" customWidth="1"/>
    <col min="16" max="16" width="4.5" customWidth="1"/>
    <col min="17" max="17" width="51.75" customWidth="1"/>
    <col min="18" max="18" width="13.75" customWidth="1"/>
    <col min="20" max="20" width="5.5" customWidth="1"/>
  </cols>
  <sheetData>
    <row r="2" spans="7:20" ht="61.5" customHeight="1">
      <c r="G2" s="20"/>
    </row>
    <row r="6" spans="7:20">
      <c r="Q6" s="145" t="s">
        <v>414</v>
      </c>
      <c r="R6" s="145"/>
      <c r="S6" s="145"/>
      <c r="T6" s="145"/>
    </row>
    <row r="7" spans="7:20">
      <c r="Q7" s="145"/>
      <c r="R7" s="145"/>
      <c r="S7" s="145"/>
      <c r="T7" s="145"/>
    </row>
    <row r="8" spans="7:20">
      <c r="Q8" s="145"/>
      <c r="R8" s="145"/>
      <c r="S8" s="145"/>
      <c r="T8" s="145"/>
    </row>
    <row r="9" spans="7:20">
      <c r="Q9" s="145"/>
      <c r="R9" s="145"/>
      <c r="S9" s="145"/>
      <c r="T9" s="145"/>
    </row>
    <row r="10" spans="7:20" ht="14.25" customHeight="1">
      <c r="Q10" s="145"/>
      <c r="R10" s="145"/>
      <c r="S10" s="145"/>
      <c r="T10" s="145"/>
    </row>
    <row r="11" spans="7:20">
      <c r="Q11" s="145"/>
      <c r="R11" s="145"/>
      <c r="S11" s="145"/>
      <c r="T11" s="145"/>
    </row>
    <row r="12" spans="7:20">
      <c r="Q12" s="145"/>
      <c r="R12" s="145"/>
      <c r="S12" s="145"/>
      <c r="T12" s="145"/>
    </row>
    <row r="16" spans="7:20" ht="14.25" customHeight="1">
      <c r="Q16" s="145" t="s">
        <v>415</v>
      </c>
      <c r="R16" s="145"/>
      <c r="S16" s="145"/>
      <c r="T16" s="145"/>
    </row>
    <row r="17" spans="17:20">
      <c r="Q17" s="145"/>
      <c r="R17" s="145"/>
      <c r="S17" s="145"/>
      <c r="T17" s="145"/>
    </row>
    <row r="18" spans="17:20">
      <c r="Q18" s="145"/>
      <c r="R18" s="145"/>
      <c r="S18" s="145"/>
      <c r="T18" s="145"/>
    </row>
    <row r="19" spans="17:20">
      <c r="Q19" s="145"/>
      <c r="R19" s="145"/>
      <c r="S19" s="145"/>
      <c r="T19" s="145"/>
    </row>
    <row r="20" spans="17:20">
      <c r="Q20" s="145"/>
      <c r="R20" s="145"/>
      <c r="S20" s="145"/>
      <c r="T20" s="145"/>
    </row>
    <row r="21" spans="17:20">
      <c r="Q21" s="145"/>
      <c r="R21" s="145"/>
      <c r="S21" s="145"/>
      <c r="T21" s="145"/>
    </row>
    <row r="22" spans="17:20">
      <c r="Q22" s="145"/>
      <c r="R22" s="145"/>
      <c r="S22" s="145"/>
      <c r="T22" s="145"/>
    </row>
    <row r="23" spans="17:20">
      <c r="Q23" s="145"/>
      <c r="R23" s="145"/>
      <c r="S23" s="145"/>
      <c r="T23" s="145"/>
    </row>
    <row r="24" spans="17:20">
      <c r="Q24" s="145"/>
      <c r="R24" s="145"/>
      <c r="S24" s="145"/>
      <c r="T24" s="145"/>
    </row>
    <row r="25" spans="17:20">
      <c r="Q25" s="145"/>
      <c r="R25" s="145"/>
      <c r="S25" s="145"/>
      <c r="T25" s="145"/>
    </row>
    <row r="26" spans="17:20">
      <c r="Q26" s="145"/>
      <c r="R26" s="145"/>
      <c r="S26" s="145"/>
      <c r="T26" s="145"/>
    </row>
    <row r="27" spans="17:20">
      <c r="Q27" s="145"/>
      <c r="R27" s="145"/>
      <c r="S27" s="145"/>
      <c r="T27" s="145"/>
    </row>
    <row r="28" spans="17:20">
      <c r="Q28" s="145"/>
      <c r="R28" s="145"/>
      <c r="S28" s="145"/>
      <c r="T28" s="145"/>
    </row>
    <row r="29" spans="17:20">
      <c r="Q29" s="135"/>
      <c r="R29" s="135"/>
      <c r="S29" s="135"/>
    </row>
    <row r="30" spans="17:20">
      <c r="Q30" s="135"/>
      <c r="R30" s="135"/>
      <c r="S30" s="135"/>
    </row>
    <row r="34" spans="17:20" ht="89.25" customHeight="1">
      <c r="Q34" s="145" t="s">
        <v>416</v>
      </c>
      <c r="R34" s="145"/>
      <c r="S34" s="145"/>
      <c r="T34" s="145"/>
    </row>
    <row r="35" spans="17:20">
      <c r="Q35" s="145"/>
      <c r="R35" s="145"/>
      <c r="S35" s="145"/>
      <c r="T35" s="145"/>
    </row>
    <row r="36" spans="17:20">
      <c r="Q36" s="145"/>
      <c r="R36" s="145"/>
      <c r="S36" s="145"/>
      <c r="T36" s="145"/>
    </row>
    <row r="37" spans="17:20">
      <c r="Q37" s="145"/>
      <c r="R37" s="145"/>
      <c r="S37" s="145"/>
      <c r="T37" s="145"/>
    </row>
    <row r="38" spans="17:20">
      <c r="Q38" s="145"/>
      <c r="R38" s="145"/>
      <c r="S38" s="145"/>
      <c r="T38" s="145"/>
    </row>
    <row r="39" spans="17:20">
      <c r="Q39" s="145"/>
      <c r="R39" s="145"/>
      <c r="S39" s="145"/>
      <c r="T39" s="145"/>
    </row>
    <row r="40" spans="17:20">
      <c r="Q40" s="145"/>
      <c r="R40" s="145"/>
      <c r="S40" s="145"/>
      <c r="T40" s="145"/>
    </row>
    <row r="41" spans="17:20">
      <c r="Q41" s="145"/>
      <c r="R41" s="145"/>
      <c r="S41" s="145"/>
      <c r="T41" s="145"/>
    </row>
    <row r="42" spans="17:20">
      <c r="Q42" s="145"/>
      <c r="R42" s="145"/>
      <c r="S42" s="145"/>
      <c r="T42" s="145"/>
    </row>
    <row r="43" spans="17:20">
      <c r="Q43" s="145"/>
      <c r="R43" s="145"/>
      <c r="S43" s="145"/>
      <c r="T43" s="145"/>
    </row>
    <row r="44" spans="17:20" ht="14.25" customHeight="1">
      <c r="Q44" s="145"/>
      <c r="R44" s="145"/>
      <c r="S44" s="145"/>
      <c r="T44" s="145"/>
    </row>
    <row r="45" spans="17:20">
      <c r="Q45" s="145"/>
      <c r="R45" s="145"/>
      <c r="S45" s="145"/>
      <c r="T45" s="145"/>
    </row>
    <row r="46" spans="17:20">
      <c r="Q46" s="145"/>
      <c r="R46" s="145"/>
      <c r="S46" s="145"/>
      <c r="T46" s="145"/>
    </row>
    <row r="47" spans="17:20">
      <c r="Q47" s="145"/>
      <c r="R47" s="145"/>
      <c r="S47" s="145"/>
      <c r="T47" s="145"/>
    </row>
    <row r="48" spans="17:20">
      <c r="Q48" s="145"/>
      <c r="R48" s="145"/>
      <c r="S48" s="145"/>
      <c r="T48" s="145"/>
    </row>
    <row r="49" spans="17:19">
      <c r="Q49" s="135"/>
      <c r="R49" s="135"/>
      <c r="S49" s="135"/>
    </row>
    <row r="50" spans="17:19">
      <c r="Q50" s="135"/>
      <c r="R50" s="135"/>
      <c r="S50" s="135"/>
    </row>
    <row r="51" spans="17:19">
      <c r="Q51" s="135"/>
      <c r="R51" s="135"/>
      <c r="S51" s="135"/>
    </row>
    <row r="52" spans="17:19">
      <c r="Q52" s="135"/>
      <c r="R52" s="135"/>
      <c r="S52" s="135"/>
    </row>
    <row r="53" spans="17:19">
      <c r="Q53" s="135"/>
      <c r="R53" s="135"/>
      <c r="S53" s="135"/>
    </row>
    <row r="54" spans="17:19">
      <c r="Q54" s="135"/>
      <c r="R54" s="135"/>
      <c r="S54" s="135"/>
    </row>
    <row r="55" spans="17:19">
      <c r="Q55" s="135"/>
      <c r="R55" s="135"/>
      <c r="S55" s="135"/>
    </row>
    <row r="56" spans="17:19">
      <c r="Q56" s="135"/>
      <c r="R56" s="135"/>
      <c r="S56" s="135"/>
    </row>
    <row r="57" spans="17:19">
      <c r="Q57" s="135"/>
      <c r="R57" s="135"/>
      <c r="S57" s="135"/>
    </row>
    <row r="58" spans="17:19">
      <c r="Q58" s="135"/>
      <c r="R58" s="135"/>
      <c r="S58" s="135"/>
    </row>
  </sheetData>
  <sheetProtection algorithmName="SHA-512" hashValue="jUs0QV0zZsndMARU/N8ikNHqHFZ7tbQHZShyKGm7HUrqGOBt/NOSfsJZpy6MqQ5T9IZVt+EJMcoCb25DT+KgZA==" saltValue="7RioNTqFrVTXdCxCU9ExaQ==" spinCount="100000" sheet="1" objects="1" scenarios="1"/>
  <mergeCells count="3">
    <mergeCell ref="Q16:T28"/>
    <mergeCell ref="Q6:T12"/>
    <mergeCell ref="Q34:T48"/>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17</vt:i4>
      </vt:variant>
    </vt:vector>
  </HeadingPairs>
  <TitlesOfParts>
    <vt:vector size="22" baseType="lpstr">
      <vt:lpstr>Settings</vt:lpstr>
      <vt:lpstr>Etapes</vt:lpstr>
      <vt:lpstr>Calculateur</vt:lpstr>
      <vt:lpstr>Liste</vt:lpstr>
      <vt:lpstr>Aide</vt:lpstr>
      <vt:lpstr>Adresse_Mail</vt:lpstr>
      <vt:lpstr>Mail_L1</vt:lpstr>
      <vt:lpstr>Mail_L10</vt:lpstr>
      <vt:lpstr>Mail_L11</vt:lpstr>
      <vt:lpstr>Mail_L2</vt:lpstr>
      <vt:lpstr>Mail_L3</vt:lpstr>
      <vt:lpstr>Mail_L4</vt:lpstr>
      <vt:lpstr>Mail_L5</vt:lpstr>
      <vt:lpstr>Mail_L6</vt:lpstr>
      <vt:lpstr>Mail_L7</vt:lpstr>
      <vt:lpstr>Mail_L8</vt:lpstr>
      <vt:lpstr>Mail_L9</vt:lpstr>
      <vt:lpstr>NbEtapes</vt:lpstr>
      <vt:lpstr>nom_mail</vt:lpstr>
      <vt:lpstr>Option</vt:lpstr>
      <vt:lpstr>titre_mail</vt:lpstr>
      <vt:lpstr>Calculateur!Zone_d_impression</vt:lpstr>
    </vt:vector>
  </TitlesOfParts>
  <Company>VINCI Construction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BLOSSIER Jean-Noël</dc:creator>
  <cp:lastModifiedBy>BLOSSIER Jean-Noël</cp:lastModifiedBy>
  <cp:lastPrinted>2025-11-22T20:01:42Z</cp:lastPrinted>
  <dcterms:created xsi:type="dcterms:W3CDTF">2025-08-02T13:52:33Z</dcterms:created>
  <dcterms:modified xsi:type="dcterms:W3CDTF">2026-01-23T08:21:02Z</dcterms:modified>
</cp:coreProperties>
</file>